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zdrojova data" sheetId="1" r:id="rId1"/>
    <sheet name="KomponentaB-bibliometrie" sheetId="6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<sst xmlns="http://schemas.openxmlformats.org/spreadsheetml/2006/main" count="232" uniqueCount="103">
  <si>
    <t>počet doktorandů, školených na daném pracovišti</t>
  </si>
  <si>
    <t>počet výzkumných pracovníků/ počet doktorandů, školených na daném pracovišti</t>
  </si>
  <si>
    <t>součet vědeckých projektů s mezinárodní účastí alokovaných pracovišti a zahraničních projektů</t>
  </si>
  <si>
    <t>počet doktorandů, školených na daném pracovišti/ počet odborných pracovníků provádějících výzkumnou činnost</t>
  </si>
  <si>
    <t>Endokrinologický ústav</t>
  </si>
  <si>
    <t>FN Brno</t>
  </si>
  <si>
    <t>FNKV</t>
  </si>
  <si>
    <t>FN Olomouc</t>
  </si>
  <si>
    <t>FN Ostrava</t>
  </si>
  <si>
    <t>FN Plzeň</t>
  </si>
  <si>
    <t>FN v Motole</t>
  </si>
  <si>
    <t>IKEM</t>
  </si>
  <si>
    <t>MOÚ</t>
  </si>
  <si>
    <t>NÚDZ</t>
  </si>
  <si>
    <t>Revmatologický ústav</t>
  </si>
  <si>
    <t>SZÚ</t>
  </si>
  <si>
    <t>ÚHKT</t>
  </si>
  <si>
    <t>VFN</t>
  </si>
  <si>
    <t>CKTCH</t>
  </si>
  <si>
    <t>ÚPMD</t>
  </si>
  <si>
    <t>ZÚ v Ostravě</t>
  </si>
  <si>
    <t>FN H.K.</t>
  </si>
  <si>
    <t>NNH</t>
  </si>
  <si>
    <t>FN USA</t>
  </si>
  <si>
    <t>počet přepočtených úvazků výzkumných pracovníků (s titulem Ph.D. apod.) konkrétní VO (= přepočtený počet úvazků všech pracovníků organizace s titulem Ph.D., CSc. apod. )</t>
  </si>
  <si>
    <t>celkový počet odborných pracovníků provádějících výzkumnou činnost (viz řádek 02 + 03 tabulky 125 formuláře VTR 5-01 (b)</t>
  </si>
  <si>
    <t>celkový počet výzkumných pracovníků (bez ohledu na výši úvazku)</t>
  </si>
  <si>
    <t>finanční dotace dané instituci alokovaných projektů účelové podpory (Ministerstvo zdravotnictví, GA ČR, TA ČR + projekty udělené relevantními zahraničními či nadnárodními poskytovateli) - jedná se o skutečně získané finanční prostředky, nepatří sem např. spoluúčast. Nepatří sem finanční prostředky institucionální podpory.</t>
  </si>
  <si>
    <t>Celkový přepočtený počet pracovníků (jde o všechny pracovníky organizace, nejen pracující ve vědě a výzkumu)</t>
  </si>
  <si>
    <t xml:space="preserve">počet přepočtených úvazků/celkový přepočtený počet pracovníků </t>
  </si>
  <si>
    <t>Kombonenta B - bibliometrie</t>
  </si>
  <si>
    <t>VO</t>
  </si>
  <si>
    <t>d1</t>
  </si>
  <si>
    <t>q1</t>
  </si>
  <si>
    <t>q2</t>
  </si>
  <si>
    <t>q3</t>
  </si>
  <si>
    <t>q4</t>
  </si>
  <si>
    <t>30+</t>
  </si>
  <si>
    <t>koresp</t>
  </si>
  <si>
    <t>d1 [%]</t>
  </si>
  <si>
    <t>q1  [%]</t>
  </si>
  <si>
    <t>q2 [%]</t>
  </si>
  <si>
    <t>q3 [%]</t>
  </si>
  <si>
    <t>q4 [%]</t>
  </si>
  <si>
    <t>30+  [%]</t>
  </si>
  <si>
    <t>koresp  [%]</t>
  </si>
  <si>
    <t>celkem WOS</t>
  </si>
  <si>
    <t>Q1/Q4</t>
  </si>
  <si>
    <t>Ranking A,B,C,D (1-4)</t>
  </si>
  <si>
    <t>Komponenta A</t>
  </si>
  <si>
    <t>Komponenta B</t>
  </si>
  <si>
    <t>Výkonnostní složka (%)</t>
  </si>
  <si>
    <t>Rozpočet pro hodnocení</t>
  </si>
  <si>
    <t>Komponenta A (%)</t>
  </si>
  <si>
    <t>Komponenta B (%)</t>
  </si>
  <si>
    <t>Rozpočtování MZČR RVO</t>
  </si>
  <si>
    <t>SUM</t>
  </si>
  <si>
    <t>Koeficient korespondujici</t>
  </si>
  <si>
    <t>Bibliometrie - body</t>
  </si>
  <si>
    <t>Komponenta C - stabilni část rozpočtu (CZK)</t>
  </si>
  <si>
    <t>Komponenta A - body</t>
  </si>
  <si>
    <t>Komponenta A - CZK</t>
  </si>
  <si>
    <t>Komponenta B - CZK</t>
  </si>
  <si>
    <t>Komponenta C - CZK</t>
  </si>
  <si>
    <t>Koeficient pro parametr</t>
  </si>
  <si>
    <t>suma</t>
  </si>
  <si>
    <t>Podíl VO na výkonnostní složce celkového RVO</t>
  </si>
  <si>
    <t>75th percentil</t>
  </si>
  <si>
    <t>50th percentil</t>
  </si>
  <si>
    <t>25th percentil</t>
  </si>
  <si>
    <t>Přepočet na škálu 0-3 dle percentilů</t>
  </si>
  <si>
    <t>počet výsledků se známkou 1 a 2 v rámci Modulu 1 za poslední dva hodnocené roky</t>
  </si>
  <si>
    <t>Koeficiet Q1 a D1</t>
  </si>
  <si>
    <t>Komponenta A - viabilita, personální zajištění, účelová podpora, cz a inter. (max. 25%)</t>
  </si>
  <si>
    <t>2020 (v CZK)</t>
  </si>
  <si>
    <t>Celkový rozpočet RVO</t>
  </si>
  <si>
    <t>Název VO</t>
  </si>
  <si>
    <t>Celkem bodů</t>
  </si>
  <si>
    <t>Komponenta B (v CZK)</t>
  </si>
  <si>
    <t>FTN</t>
  </si>
  <si>
    <t>FN Bulovka</t>
  </si>
  <si>
    <t>Zohlednění procenta výkonnosti (komponenta A,B) a NPU (komponenta C)</t>
  </si>
  <si>
    <t>Komponenta C</t>
  </si>
  <si>
    <t>Celkem</t>
  </si>
  <si>
    <t>Komponenta C - CZK - 70 % vyplacené částky 2020</t>
  </si>
  <si>
    <t>CELKOVÁ ČÁSTKA IPO 2021</t>
  </si>
  <si>
    <t>VÝPOČET KOMPONENTY A</t>
  </si>
  <si>
    <t>ZÁKLADNÍ TABULKA PRO VÝPOČET KOMPONENT A,B,C</t>
  </si>
  <si>
    <t>VÝPOČET IPO 2021</t>
  </si>
  <si>
    <t>FINÁLNÍ VÝPOČET</t>
  </si>
  <si>
    <t>Navýšení částky IPO na rok 2021 o 3 % oproti roku 2020 (CZK)</t>
  </si>
  <si>
    <t>Základ pro výpočet IPO 2021 (v CZK) (komponenta A+B+C)</t>
  </si>
  <si>
    <t>Rozdíl celkových částek 2020 a 2021</t>
  </si>
  <si>
    <t>RVO VO v roce 2020</t>
  </si>
  <si>
    <t>Přidělené prostředky NPU 2021 (dle % výkonostní složky) - 20 %</t>
  </si>
  <si>
    <t>Celkem čerpáno na NPU v roce 2019</t>
  </si>
  <si>
    <t>ICRC</t>
  </si>
  <si>
    <t>FN Motol</t>
  </si>
  <si>
    <t>FNOL</t>
  </si>
  <si>
    <t>NUDZ</t>
  </si>
  <si>
    <t>MOU</t>
  </si>
  <si>
    <t>Podíl VO na čerpání NPU v roce 2019</t>
  </si>
  <si>
    <t>Přidělené prostředky NPU 2021 (dle podílu čerpaných peněz z NPU) - 80 %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</si>
</sst>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CZK&quot;"/>
    <numFmt numFmtId="165" formatCode="0.0"/>
    <numFmt numFmtId="166" formatCode="#,##0.0"/>
    <numFmt numFmtId="167" formatCode="#,##0.0\ &quot;CZK&quot;"/>
    <numFmt numFmtId="168" formatCode="0.0000"/>
    <numFmt numFmtId="169" formatCode="0.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i/>
      <sz val="12"/>
      <color theme="1" tint="0.34999001026153564"/>
      <name val="Arial"/>
      <family val="2"/>
    </font>
    <font>
      <i/>
      <sz val="11"/>
      <color theme="1" tint="0.34999001026153564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0"/>
      <name val="Arial"/>
      <family val="2"/>
    </font>
    <font>
      <i/>
      <sz val="12"/>
      <name val="Arial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i/>
      <sz val="12"/>
      <color theme="2" tint="-0.7499799728393555"/>
      <name val="Arial"/>
      <family val="2"/>
    </font>
    <font>
      <b/>
      <i/>
      <sz val="12"/>
      <color theme="2" tint="-0.7499799728393555"/>
      <name val="Arial"/>
      <family val="2"/>
    </font>
    <font>
      <i/>
      <sz val="11"/>
      <color theme="2" tint="-0.7499799728393555"/>
      <name val="Calibri"/>
      <family val="2"/>
      <scheme val="minor"/>
    </font>
    <font>
      <b/>
      <sz val="12"/>
      <color theme="2" tint="-0.7499799728393555"/>
      <name val="Arial"/>
      <family val="2"/>
    </font>
    <font>
      <sz val="11"/>
      <color theme="2" tint="-0.7499799728393555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E7A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double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5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164" fontId="0" fillId="0" borderId="0" xfId="0" applyNumberFormat="1"/>
    <xf numFmtId="0" fontId="5" fillId="0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7" fillId="3" borderId="0" xfId="0" applyFont="1" applyFill="1"/>
    <xf numFmtId="0" fontId="0" fillId="0" borderId="0" xfId="0" applyFill="1"/>
    <xf numFmtId="1" fontId="5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vertical="center" wrapText="1"/>
    </xf>
    <xf numFmtId="1" fontId="4" fillId="5" borderId="1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1" fontId="5" fillId="4" borderId="2" xfId="0" applyNumberFormat="1" applyFont="1" applyFill="1" applyBorder="1" applyAlignment="1">
      <alignment horizontal="center" wrapText="1"/>
    </xf>
    <xf numFmtId="1" fontId="5" fillId="4" borderId="3" xfId="0" applyNumberFormat="1" applyFont="1" applyFill="1" applyBorder="1" applyAlignment="1">
      <alignment horizontal="center" wrapText="1"/>
    </xf>
    <xf numFmtId="1" fontId="5" fillId="4" borderId="4" xfId="0" applyNumberFormat="1" applyFont="1" applyFill="1" applyBorder="1" applyAlignment="1">
      <alignment horizontal="center" wrapText="1"/>
    </xf>
    <xf numFmtId="1" fontId="5" fillId="4" borderId="5" xfId="0" applyNumberFormat="1" applyFont="1" applyFill="1" applyBorder="1" applyAlignment="1">
      <alignment horizontal="center" wrapText="1"/>
    </xf>
    <xf numFmtId="1" fontId="5" fillId="4" borderId="6" xfId="0" applyNumberFormat="1" applyFont="1" applyFill="1" applyBorder="1" applyAlignment="1">
      <alignment horizontal="center" wrapText="1"/>
    </xf>
    <xf numFmtId="1" fontId="4" fillId="5" borderId="7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8" fillId="0" borderId="0" xfId="0" applyFont="1" applyFill="1"/>
    <xf numFmtId="1" fontId="0" fillId="0" borderId="0" xfId="0" applyNumberFormat="1" applyFill="1"/>
    <xf numFmtId="0" fontId="12" fillId="0" borderId="0" xfId="0" applyFont="1" applyFill="1"/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1" fontId="11" fillId="0" borderId="7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" fontId="4" fillId="5" borderId="8" xfId="0" applyNumberFormat="1" applyFont="1" applyFill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5" borderId="5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165" fontId="5" fillId="4" borderId="9" xfId="0" applyNumberFormat="1" applyFont="1" applyFill="1" applyBorder="1" applyAlignment="1">
      <alignment horizontal="center" wrapText="1"/>
    </xf>
    <xf numFmtId="0" fontId="11" fillId="0" borderId="9" xfId="0" applyFont="1" applyFill="1" applyBorder="1" applyAlignment="1">
      <alignment vertical="center" wrapText="1"/>
    </xf>
    <xf numFmtId="165" fontId="5" fillId="4" borderId="10" xfId="0" applyNumberFormat="1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1" fontId="11" fillId="0" borderId="19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 wrapText="1"/>
    </xf>
    <xf numFmtId="1" fontId="10" fillId="4" borderId="2" xfId="0" applyNumberFormat="1" applyFont="1" applyFill="1" applyBorder="1" applyAlignment="1">
      <alignment horizontal="center" wrapText="1"/>
    </xf>
    <xf numFmtId="3" fontId="10" fillId="4" borderId="1" xfId="0" applyNumberFormat="1" applyFont="1" applyFill="1" applyBorder="1" applyAlignment="1">
      <alignment horizontal="center" wrapText="1"/>
    </xf>
    <xf numFmtId="3" fontId="10" fillId="4" borderId="2" xfId="0" applyNumberFormat="1" applyFont="1" applyFill="1" applyBorder="1" applyAlignment="1">
      <alignment horizontal="center" wrapText="1"/>
    </xf>
    <xf numFmtId="3" fontId="4" fillId="5" borderId="7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5" borderId="8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wrapText="1"/>
    </xf>
    <xf numFmtId="165" fontId="10" fillId="4" borderId="2" xfId="0" applyNumberFormat="1" applyFont="1" applyFill="1" applyBorder="1" applyAlignment="1">
      <alignment horizontal="center" wrapText="1"/>
    </xf>
    <xf numFmtId="1" fontId="10" fillId="4" borderId="7" xfId="0" applyNumberFormat="1" applyFont="1" applyFill="1" applyBorder="1" applyAlignment="1">
      <alignment horizontal="center"/>
    </xf>
    <xf numFmtId="168" fontId="4" fillId="5" borderId="7" xfId="0" applyNumberFormat="1" applyFont="1" applyFill="1" applyBorder="1" applyAlignment="1">
      <alignment horizontal="center" vertical="center"/>
    </xf>
    <xf numFmtId="168" fontId="4" fillId="5" borderId="1" xfId="0" applyNumberFormat="1" applyFont="1" applyFill="1" applyBorder="1" applyAlignment="1">
      <alignment horizontal="center" vertical="center"/>
    </xf>
    <xf numFmtId="168" fontId="4" fillId="5" borderId="8" xfId="0" applyNumberFormat="1" applyFont="1" applyFill="1" applyBorder="1" applyAlignment="1">
      <alignment horizontal="center" vertical="center"/>
    </xf>
    <xf numFmtId="168" fontId="4" fillId="5" borderId="2" xfId="0" applyNumberFormat="1" applyFont="1" applyFill="1" applyBorder="1" applyAlignment="1">
      <alignment horizontal="center" vertical="center"/>
    </xf>
    <xf numFmtId="168" fontId="5" fillId="4" borderId="1" xfId="0" applyNumberFormat="1" applyFont="1" applyFill="1" applyBorder="1" applyAlignment="1">
      <alignment horizontal="center" wrapText="1"/>
    </xf>
    <xf numFmtId="168" fontId="5" fillId="4" borderId="2" xfId="0" applyNumberFormat="1" applyFont="1" applyFill="1" applyBorder="1" applyAlignment="1">
      <alignment horizontal="center" wrapText="1"/>
    </xf>
    <xf numFmtId="169" fontId="4" fillId="5" borderId="7" xfId="0" applyNumberFormat="1" applyFont="1" applyFill="1" applyBorder="1" applyAlignment="1">
      <alignment horizontal="center" vertical="center"/>
    </xf>
    <xf numFmtId="169" fontId="4" fillId="5" borderId="1" xfId="0" applyNumberFormat="1" applyFont="1" applyFill="1" applyBorder="1" applyAlignment="1">
      <alignment horizontal="center" vertical="center"/>
    </xf>
    <xf numFmtId="169" fontId="4" fillId="5" borderId="8" xfId="0" applyNumberFormat="1" applyFont="1" applyFill="1" applyBorder="1" applyAlignment="1">
      <alignment horizontal="center" vertical="center"/>
    </xf>
    <xf numFmtId="169" fontId="4" fillId="5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 wrapText="1"/>
    </xf>
    <xf numFmtId="1" fontId="5" fillId="0" borderId="21" xfId="0" applyNumberFormat="1" applyFont="1" applyFill="1" applyBorder="1" applyAlignment="1">
      <alignment horizontal="center"/>
    </xf>
    <xf numFmtId="0" fontId="0" fillId="0" borderId="1" xfId="0" applyBorder="1"/>
    <xf numFmtId="166" fontId="4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 indent="4"/>
    </xf>
    <xf numFmtId="0" fontId="5" fillId="4" borderId="1" xfId="0" applyFont="1" applyFill="1" applyBorder="1" applyAlignment="1">
      <alignment horizontal="left" wrapText="1" indent="4"/>
    </xf>
    <xf numFmtId="0" fontId="5" fillId="4" borderId="1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wrapText="1" indent="4"/>
    </xf>
    <xf numFmtId="0" fontId="5" fillId="0" borderId="22" xfId="0" applyFont="1" applyFill="1" applyBorder="1" applyAlignment="1">
      <alignment wrapText="1"/>
    </xf>
    <xf numFmtId="166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/>
    <xf numFmtId="3" fontId="4" fillId="0" borderId="1" xfId="0" applyNumberFormat="1" applyFont="1" applyBorder="1"/>
    <xf numFmtId="4" fontId="4" fillId="6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0" fontId="0" fillId="7" borderId="1" xfId="0" applyFill="1" applyBorder="1"/>
    <xf numFmtId="10" fontId="5" fillId="7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5" fillId="3" borderId="23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5" fillId="0" borderId="0" xfId="0" applyFont="1"/>
    <xf numFmtId="164" fontId="5" fillId="0" borderId="0" xfId="0" applyNumberFormat="1" applyFont="1"/>
    <xf numFmtId="0" fontId="5" fillId="8" borderId="24" xfId="0" applyFont="1" applyFill="1" applyBorder="1"/>
    <xf numFmtId="0" fontId="9" fillId="9" borderId="24" xfId="0" applyFont="1" applyFill="1" applyBorder="1" applyAlignment="1">
      <alignment vertical="center"/>
    </xf>
    <xf numFmtId="0" fontId="14" fillId="9" borderId="25" xfId="0" applyFont="1" applyFill="1" applyBorder="1" applyAlignment="1">
      <alignment vertical="center"/>
    </xf>
    <xf numFmtId="0" fontId="0" fillId="0" borderId="26" xfId="0" applyBorder="1"/>
    <xf numFmtId="0" fontId="5" fillId="5" borderId="1" xfId="0" applyFont="1" applyFill="1" applyBorder="1"/>
    <xf numFmtId="3" fontId="5" fillId="5" borderId="1" xfId="0" applyNumberFormat="1" applyFont="1" applyFill="1" applyBorder="1" applyAlignment="1">
      <alignment horizontal="right" vertical="center"/>
    </xf>
    <xf numFmtId="0" fontId="4" fillId="10" borderId="1" xfId="0" applyFont="1" applyFill="1" applyBorder="1"/>
    <xf numFmtId="165" fontId="10" fillId="4" borderId="9" xfId="0" applyNumberFormat="1" applyFont="1" applyFill="1" applyBorder="1" applyAlignment="1">
      <alignment horizontal="center" wrapText="1"/>
    </xf>
    <xf numFmtId="169" fontId="10" fillId="4" borderId="1" xfId="0" applyNumberFormat="1" applyFont="1" applyFill="1" applyBorder="1" applyAlignment="1">
      <alignment horizontal="center" wrapText="1"/>
    </xf>
    <xf numFmtId="169" fontId="10" fillId="4" borderId="2" xfId="0" applyNumberFormat="1" applyFont="1" applyFill="1" applyBorder="1" applyAlignment="1">
      <alignment horizont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4" fontId="0" fillId="0" borderId="0" xfId="0" applyNumberFormat="1"/>
    <xf numFmtId="3" fontId="0" fillId="0" borderId="0" xfId="0" applyNumberFormat="1"/>
    <xf numFmtId="0" fontId="5" fillId="5" borderId="1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 wrapText="1"/>
    </xf>
    <xf numFmtId="3" fontId="4" fillId="11" borderId="1" xfId="0" applyNumberFormat="1" applyFont="1" applyFill="1" applyBorder="1"/>
    <xf numFmtId="3" fontId="5" fillId="5" borderId="1" xfId="0" applyNumberFormat="1" applyFont="1" applyFill="1" applyBorder="1" applyAlignment="1">
      <alignment vertical="center"/>
    </xf>
    <xf numFmtId="0" fontId="4" fillId="11" borderId="1" xfId="0" applyFont="1" applyFill="1" applyBorder="1"/>
    <xf numFmtId="165" fontId="4" fillId="0" borderId="1" xfId="0" applyNumberFormat="1" applyFont="1" applyFill="1" applyBorder="1"/>
    <xf numFmtId="0" fontId="5" fillId="6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wrapText="1" indent="4"/>
    </xf>
    <xf numFmtId="0" fontId="17" fillId="0" borderId="1" xfId="0" applyFont="1" applyBorder="1"/>
    <xf numFmtId="0" fontId="16" fillId="0" borderId="1" xfId="0" applyFont="1" applyBorder="1" applyAlignment="1">
      <alignment horizontal="center"/>
    </xf>
    <xf numFmtId="0" fontId="16" fillId="12" borderId="1" xfId="0" applyFont="1" applyFill="1" applyBorder="1" applyAlignment="1">
      <alignment horizontal="center"/>
    </xf>
    <xf numFmtId="0" fontId="17" fillId="0" borderId="0" xfId="0" applyFont="1" applyFill="1"/>
    <xf numFmtId="0" fontId="5" fillId="3" borderId="2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17" fillId="0" borderId="8" xfId="0" applyFont="1" applyBorder="1"/>
    <xf numFmtId="0" fontId="0" fillId="0" borderId="8" xfId="0" applyBorder="1"/>
    <xf numFmtId="4" fontId="4" fillId="6" borderId="9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center"/>
    </xf>
    <xf numFmtId="3" fontId="5" fillId="4" borderId="9" xfId="0" applyNumberFormat="1" applyFont="1" applyFill="1" applyBorder="1" applyAlignment="1">
      <alignment horizontal="center"/>
    </xf>
    <xf numFmtId="167" fontId="5" fillId="0" borderId="9" xfId="0" applyNumberFormat="1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4" fillId="0" borderId="9" xfId="0" applyNumberFormat="1" applyFont="1" applyBorder="1"/>
    <xf numFmtId="0" fontId="5" fillId="3" borderId="29" xfId="0" applyFont="1" applyFill="1" applyBorder="1" applyAlignment="1">
      <alignment horizontal="center" vertical="center" wrapText="1"/>
    </xf>
    <xf numFmtId="4" fontId="4" fillId="6" borderId="5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167" fontId="5" fillId="0" borderId="5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Border="1"/>
    <xf numFmtId="0" fontId="0" fillId="7" borderId="8" xfId="0" applyFill="1" applyBorder="1"/>
    <xf numFmtId="10" fontId="5" fillId="7" borderId="9" xfId="0" applyNumberFormat="1" applyFont="1" applyFill="1" applyBorder="1" applyAlignment="1">
      <alignment horizontal="center" vertical="center"/>
    </xf>
    <xf numFmtId="10" fontId="5" fillId="7" borderId="6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0" fontId="0" fillId="0" borderId="31" xfId="0" applyBorder="1"/>
    <xf numFmtId="0" fontId="5" fillId="13" borderId="7" xfId="0" applyFont="1" applyFill="1" applyBorder="1" applyAlignment="1">
      <alignment horizontal="left" vertical="center"/>
    </xf>
    <xf numFmtId="3" fontId="10" fillId="5" borderId="1" xfId="0" applyNumberFormat="1" applyFont="1" applyFill="1" applyBorder="1" applyAlignment="1">
      <alignment horizontal="right" vertical="center"/>
    </xf>
    <xf numFmtId="0" fontId="3" fillId="10" borderId="1" xfId="0" applyFont="1" applyFill="1" applyBorder="1"/>
    <xf numFmtId="0" fontId="3" fillId="0" borderId="1" xfId="0" applyFont="1" applyFill="1" applyBorder="1"/>
    <xf numFmtId="0" fontId="0" fillId="0" borderId="32" xfId="0" applyBorder="1"/>
    <xf numFmtId="0" fontId="0" fillId="0" borderId="17" xfId="0" applyBorder="1"/>
    <xf numFmtId="0" fontId="0" fillId="0" borderId="20" xfId="0" applyBorder="1"/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18" fillId="14" borderId="22" xfId="0" applyFont="1" applyFill="1" applyBorder="1" applyAlignment="1">
      <alignment vertical="center"/>
    </xf>
    <xf numFmtId="0" fontId="0" fillId="14" borderId="22" xfId="0" applyFill="1" applyBorder="1"/>
    <xf numFmtId="0" fontId="18" fillId="14" borderId="22" xfId="0" applyFont="1" applyFill="1" applyBorder="1" applyAlignment="1">
      <alignment horizontal="left" vertical="center" indent="2"/>
    </xf>
    <xf numFmtId="0" fontId="19" fillId="15" borderId="19" xfId="0" applyFont="1" applyFill="1" applyBorder="1" applyAlignment="1">
      <alignment horizontal="left" vertical="center"/>
    </xf>
    <xf numFmtId="3" fontId="19" fillId="15" borderId="17" xfId="0" applyNumberFormat="1" applyFont="1" applyFill="1" applyBorder="1" applyAlignment="1">
      <alignment horizontal="center" vertical="center"/>
    </xf>
    <xf numFmtId="0" fontId="20" fillId="15" borderId="17" xfId="0" applyFont="1" applyFill="1" applyBorder="1"/>
    <xf numFmtId="0" fontId="20" fillId="15" borderId="20" xfId="0" applyFont="1" applyFill="1" applyBorder="1"/>
    <xf numFmtId="3" fontId="21" fillId="15" borderId="33" xfId="0" applyNumberFormat="1" applyFont="1" applyFill="1" applyBorder="1" applyAlignment="1">
      <alignment horizontal="center" vertical="center"/>
    </xf>
    <xf numFmtId="0" fontId="22" fillId="0" borderId="0" xfId="0" applyFont="1" applyFill="1"/>
    <xf numFmtId="10" fontId="0" fillId="0" borderId="0" xfId="0" applyNumberFormat="1"/>
    <xf numFmtId="3" fontId="13" fillId="10" borderId="5" xfId="0" applyNumberFormat="1" applyFont="1" applyFill="1" applyBorder="1" applyAlignment="1">
      <alignment horizontal="center" vertical="center"/>
    </xf>
    <xf numFmtId="3" fontId="4" fillId="10" borderId="1" xfId="0" applyNumberFormat="1" applyFont="1" applyFill="1" applyBorder="1" applyAlignment="1">
      <alignment horizontal="center" vertical="center"/>
    </xf>
    <xf numFmtId="3" fontId="13" fillId="10" borderId="39" xfId="0" applyNumberFormat="1" applyFont="1" applyFill="1" applyBorder="1" applyAlignment="1">
      <alignment horizontal="center" vertical="center"/>
    </xf>
    <xf numFmtId="0" fontId="23" fillId="13" borderId="7" xfId="0" applyFont="1" applyFill="1" applyBorder="1" applyAlignment="1">
      <alignment horizontal="left" vertical="center"/>
    </xf>
    <xf numFmtId="3" fontId="24" fillId="0" borderId="17" xfId="0" applyNumberFormat="1" applyFont="1" applyBorder="1" applyAlignment="1">
      <alignment horizontal="center" vertical="center"/>
    </xf>
    <xf numFmtId="0" fontId="25" fillId="0" borderId="1" xfId="0" applyFont="1" applyBorder="1"/>
    <xf numFmtId="0" fontId="25" fillId="0" borderId="8" xfId="0" applyFont="1" applyBorder="1"/>
    <xf numFmtId="3" fontId="23" fillId="0" borderId="40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 vertical="center"/>
    </xf>
    <xf numFmtId="0" fontId="25" fillId="0" borderId="0" xfId="0" applyFont="1" applyFill="1"/>
    <xf numFmtId="3" fontId="24" fillId="0" borderId="1" xfId="0" applyNumberFormat="1" applyFont="1" applyBorder="1" applyAlignment="1">
      <alignment horizontal="center" vertical="center"/>
    </xf>
    <xf numFmtId="3" fontId="23" fillId="0" borderId="5" xfId="0" applyNumberFormat="1" applyFont="1" applyBorder="1" applyAlignment="1">
      <alignment horizontal="center" vertical="center"/>
    </xf>
    <xf numFmtId="3" fontId="23" fillId="16" borderId="9" xfId="0" applyNumberFormat="1" applyFont="1" applyFill="1" applyBorder="1" applyAlignment="1">
      <alignment horizontal="center" vertical="center"/>
    </xf>
    <xf numFmtId="3" fontId="23" fillId="16" borderId="1" xfId="0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0" fontId="23" fillId="13" borderId="41" xfId="0" applyFont="1" applyFill="1" applyBorder="1" applyAlignment="1">
      <alignment horizontal="left" vertical="center"/>
    </xf>
    <xf numFmtId="3" fontId="24" fillId="0" borderId="42" xfId="0" applyNumberFormat="1" applyFont="1" applyBorder="1" applyAlignment="1">
      <alignment horizontal="center" vertical="center"/>
    </xf>
    <xf numFmtId="0" fontId="25" fillId="0" borderId="42" xfId="0" applyFont="1" applyBorder="1"/>
    <xf numFmtId="0" fontId="25" fillId="0" borderId="43" xfId="0" applyFont="1" applyBorder="1"/>
    <xf numFmtId="10" fontId="23" fillId="0" borderId="16" xfId="0" applyNumberFormat="1" applyFont="1" applyBorder="1" applyAlignment="1">
      <alignment horizontal="center" vertical="center"/>
    </xf>
    <xf numFmtId="10" fontId="23" fillId="0" borderId="44" xfId="0" applyNumberFormat="1" applyFont="1" applyBorder="1" applyAlignment="1">
      <alignment horizontal="center" vertical="center"/>
    </xf>
    <xf numFmtId="0" fontId="26" fillId="13" borderId="41" xfId="0" applyFont="1" applyFill="1" applyBorder="1" applyAlignment="1">
      <alignment horizontal="left" vertical="center"/>
    </xf>
    <xf numFmtId="3" fontId="26" fillId="0" borderId="42" xfId="0" applyNumberFormat="1" applyFont="1" applyBorder="1" applyAlignment="1">
      <alignment horizontal="center" vertical="center"/>
    </xf>
    <xf numFmtId="0" fontId="27" fillId="0" borderId="42" xfId="0" applyFont="1" applyBorder="1"/>
    <xf numFmtId="0" fontId="27" fillId="0" borderId="43" xfId="0" applyFont="1" applyBorder="1"/>
    <xf numFmtId="0" fontId="27" fillId="0" borderId="0" xfId="0" applyFont="1" applyFill="1" applyBorder="1"/>
    <xf numFmtId="0" fontId="27" fillId="0" borderId="0" xfId="0" applyFont="1" applyFill="1"/>
    <xf numFmtId="3" fontId="23" fillId="16" borderId="2" xfId="0" applyNumberFormat="1" applyFont="1" applyFill="1" applyBorder="1" applyAlignment="1">
      <alignment horizontal="center" vertical="center"/>
    </xf>
    <xf numFmtId="10" fontId="23" fillId="0" borderId="45" xfId="0" applyNumberFormat="1" applyFont="1" applyBorder="1" applyAlignment="1">
      <alignment horizontal="center" vertical="center"/>
    </xf>
    <xf numFmtId="3" fontId="19" fillId="15" borderId="34" xfId="0" applyNumberFormat="1" applyFont="1" applyFill="1" applyBorder="1" applyAlignment="1">
      <alignment horizontal="center" vertical="center"/>
    </xf>
    <xf numFmtId="3" fontId="19" fillId="15" borderId="46" xfId="0" applyNumberFormat="1" applyFont="1" applyFill="1" applyBorder="1" applyAlignment="1">
      <alignment horizontal="center" vertical="center"/>
    </xf>
    <xf numFmtId="3" fontId="23" fillId="16" borderId="8" xfId="0" applyNumberFormat="1" applyFont="1" applyFill="1" applyBorder="1" applyAlignment="1">
      <alignment horizontal="center" vertical="center"/>
    </xf>
    <xf numFmtId="10" fontId="23" fillId="0" borderId="26" xfId="0" applyNumberFormat="1" applyFont="1" applyBorder="1" applyAlignment="1">
      <alignment horizontal="center" vertical="center"/>
    </xf>
    <xf numFmtId="3" fontId="19" fillId="15" borderId="47" xfId="0" applyNumberFormat="1" applyFont="1" applyFill="1" applyBorder="1" applyAlignment="1">
      <alignment horizontal="center" vertical="center"/>
    </xf>
    <xf numFmtId="3" fontId="23" fillId="16" borderId="7" xfId="0" applyNumberFormat="1" applyFont="1" applyFill="1" applyBorder="1" applyAlignment="1">
      <alignment horizontal="center" vertical="center"/>
    </xf>
    <xf numFmtId="10" fontId="23" fillId="0" borderId="19" xfId="0" applyNumberFormat="1" applyFont="1" applyBorder="1" applyAlignment="1">
      <alignment horizontal="center" vertical="center"/>
    </xf>
    <xf numFmtId="3" fontId="19" fillId="15" borderId="37" xfId="0" applyNumberFormat="1" applyFont="1" applyFill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3" fontId="5" fillId="10" borderId="9" xfId="0" applyNumberFormat="1" applyFont="1" applyFill="1" applyBorder="1" applyAlignment="1">
      <alignment horizontal="center" vertical="center"/>
    </xf>
    <xf numFmtId="3" fontId="5" fillId="10" borderId="1" xfId="0" applyNumberFormat="1" applyFont="1" applyFill="1" applyBorder="1" applyAlignment="1">
      <alignment horizontal="center" vertical="center"/>
    </xf>
    <xf numFmtId="3" fontId="5" fillId="10" borderId="8" xfId="0" applyNumberFormat="1" applyFont="1" applyFill="1" applyBorder="1" applyAlignment="1">
      <alignment horizontal="center" vertical="center"/>
    </xf>
    <xf numFmtId="3" fontId="5" fillId="10" borderId="7" xfId="0" applyNumberFormat="1" applyFont="1" applyFill="1" applyBorder="1" applyAlignment="1">
      <alignment horizontal="center" vertical="center"/>
    </xf>
    <xf numFmtId="3" fontId="5" fillId="10" borderId="2" xfId="0" applyNumberFormat="1" applyFont="1" applyFill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26" fillId="0" borderId="8" xfId="0" applyNumberFormat="1" applyFont="1" applyBorder="1" applyAlignment="1">
      <alignment horizontal="center" vertical="center"/>
    </xf>
    <xf numFmtId="3" fontId="26" fillId="0" borderId="7" xfId="0" applyNumberFormat="1" applyFont="1" applyBorder="1" applyAlignment="1">
      <alignment horizontal="center" vertical="center"/>
    </xf>
    <xf numFmtId="3" fontId="26" fillId="0" borderId="2" xfId="0" applyNumberFormat="1" applyFont="1" applyBorder="1" applyAlignment="1">
      <alignment horizontal="center" vertical="center"/>
    </xf>
    <xf numFmtId="3" fontId="5" fillId="10" borderId="31" xfId="0" applyNumberFormat="1" applyFont="1" applyFill="1" applyBorder="1" applyAlignment="1">
      <alignment horizontal="center" vertical="center"/>
    </xf>
    <xf numFmtId="10" fontId="23" fillId="8" borderId="16" xfId="0" applyNumberFormat="1" applyFont="1" applyFill="1" applyBorder="1" applyAlignment="1">
      <alignment horizontal="center" vertical="center"/>
    </xf>
    <xf numFmtId="165" fontId="4" fillId="5" borderId="7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165" fontId="4" fillId="5" borderId="8" xfId="0" applyNumberFormat="1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/>
    </xf>
    <xf numFmtId="0" fontId="8" fillId="0" borderId="0" xfId="0" applyFont="1"/>
    <xf numFmtId="4" fontId="8" fillId="0" borderId="0" xfId="0" applyNumberFormat="1" applyFont="1"/>
    <xf numFmtId="10" fontId="23" fillId="10" borderId="16" xfId="0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left" wrapText="1"/>
    </xf>
    <xf numFmtId="0" fontId="5" fillId="6" borderId="22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1"/>
  <sheetViews>
    <sheetView tabSelected="1" zoomScale="85" zoomScaleNormal="85" workbookViewId="0" topLeftCell="A1">
      <selection activeCell="A37" sqref="A37"/>
    </sheetView>
  </sheetViews>
  <sheetFormatPr defaultColWidth="8.8515625" defaultRowHeight="15"/>
  <cols>
    <col min="1" max="1" width="63.8515625" style="0" customWidth="1"/>
    <col min="2" max="2" width="21.28125" style="0" bestFit="1" customWidth="1"/>
    <col min="3" max="3" width="12.28125" style="0" customWidth="1"/>
    <col min="4" max="4" width="15.421875" style="0" customWidth="1"/>
    <col min="5" max="5" width="20.8515625" style="0" customWidth="1"/>
    <col min="6" max="6" width="20.421875" style="0" customWidth="1"/>
    <col min="7" max="7" width="24.140625" style="0" bestFit="1" customWidth="1"/>
    <col min="8" max="8" width="19.8515625" style="0" customWidth="1"/>
    <col min="9" max="9" width="20.7109375" style="0" customWidth="1"/>
    <col min="10" max="10" width="24.140625" style="0" bestFit="1" customWidth="1"/>
    <col min="11" max="11" width="22.140625" style="0" customWidth="1"/>
    <col min="12" max="12" width="19.00390625" style="0" customWidth="1"/>
    <col min="13" max="13" width="19.28125" style="0" customWidth="1"/>
    <col min="14" max="14" width="19.8515625" style="0" customWidth="1"/>
    <col min="15" max="15" width="18.8515625" style="0" customWidth="1"/>
    <col min="16" max="16" width="20.28125" style="0" customWidth="1"/>
    <col min="17" max="17" width="19.421875" style="0" customWidth="1"/>
    <col min="18" max="18" width="17.8515625" style="0" customWidth="1"/>
    <col min="19" max="19" width="19.140625" style="0" customWidth="1"/>
    <col min="20" max="20" width="20.140625" style="0" customWidth="1"/>
    <col min="21" max="21" width="19.00390625" style="0" customWidth="1"/>
    <col min="22" max="22" width="20.28125" style="0" customWidth="1"/>
    <col min="23" max="23" width="18.8515625" style="0" customWidth="1"/>
    <col min="24" max="24" width="24.140625" style="0" customWidth="1"/>
    <col min="25" max="25" width="14.00390625" style="10" customWidth="1"/>
    <col min="26" max="26" width="12.57421875" style="10" customWidth="1"/>
    <col min="27" max="27" width="12.421875" style="10" customWidth="1"/>
    <col min="28" max="16384" width="8.8515625" style="10" customWidth="1"/>
  </cols>
  <sheetData>
    <row r="1" spans="1:27" ht="40.5" customHeight="1" thickBot="1">
      <c r="A1" s="181" t="s">
        <v>86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</row>
    <row r="2" spans="1:27" s="23" customFormat="1" ht="32.25" thickBot="1">
      <c r="A2" s="38"/>
      <c r="B2" s="48" t="s">
        <v>64</v>
      </c>
      <c r="C2" s="49" t="s">
        <v>69</v>
      </c>
      <c r="D2" s="49" t="s">
        <v>68</v>
      </c>
      <c r="E2" s="50" t="s">
        <v>67</v>
      </c>
      <c r="F2" s="44" t="s">
        <v>4</v>
      </c>
      <c r="G2" s="45" t="s">
        <v>5</v>
      </c>
      <c r="H2" s="45" t="s">
        <v>21</v>
      </c>
      <c r="I2" s="45" t="s">
        <v>6</v>
      </c>
      <c r="J2" s="45" t="s">
        <v>7</v>
      </c>
      <c r="K2" s="45" t="s">
        <v>8</v>
      </c>
      <c r="L2" s="45" t="s">
        <v>9</v>
      </c>
      <c r="M2" s="45" t="s">
        <v>23</v>
      </c>
      <c r="N2" s="45" t="s">
        <v>10</v>
      </c>
      <c r="O2" s="45" t="s">
        <v>11</v>
      </c>
      <c r="P2" s="45" t="s">
        <v>12</v>
      </c>
      <c r="Q2" s="45" t="s">
        <v>13</v>
      </c>
      <c r="R2" s="45" t="s">
        <v>80</v>
      </c>
      <c r="S2" s="45" t="s">
        <v>22</v>
      </c>
      <c r="T2" s="45" t="s">
        <v>14</v>
      </c>
      <c r="U2" s="45" t="s">
        <v>15</v>
      </c>
      <c r="V2" s="45" t="s">
        <v>79</v>
      </c>
      <c r="W2" s="45" t="s">
        <v>16</v>
      </c>
      <c r="X2" s="46" t="s">
        <v>17</v>
      </c>
      <c r="Y2" s="44" t="s">
        <v>18</v>
      </c>
      <c r="Z2" s="45" t="s">
        <v>19</v>
      </c>
      <c r="AA2" s="47" t="s">
        <v>20</v>
      </c>
    </row>
    <row r="3" spans="1:27" s="26" customFormat="1" ht="30.75">
      <c r="A3" s="51" t="s">
        <v>28</v>
      </c>
      <c r="B3" s="52"/>
      <c r="C3" s="53"/>
      <c r="D3" s="53"/>
      <c r="E3" s="54"/>
      <c r="F3" s="55">
        <v>105.41833333333334</v>
      </c>
      <c r="G3" s="56">
        <v>6074.5</v>
      </c>
      <c r="H3" s="56">
        <v>4554.281666666667</v>
      </c>
      <c r="I3" s="56">
        <v>2546.8166666666666</v>
      </c>
      <c r="J3" s="56">
        <v>3811.4166666666665</v>
      </c>
      <c r="K3" s="56">
        <v>3368.4583333333335</v>
      </c>
      <c r="L3" s="56">
        <v>4728</v>
      </c>
      <c r="M3" s="56">
        <v>2780.662516666667</v>
      </c>
      <c r="N3" s="56">
        <v>5313.166666666667</v>
      </c>
      <c r="O3" s="56">
        <v>1909</v>
      </c>
      <c r="P3" s="56">
        <v>859.6883333333332</v>
      </c>
      <c r="Q3" s="56">
        <v>376.3583333333333</v>
      </c>
      <c r="R3" s="56">
        <v>2111.98</v>
      </c>
      <c r="S3" s="56">
        <v>1791.3333333333333</v>
      </c>
      <c r="T3" s="56">
        <v>211.83333333333334</v>
      </c>
      <c r="U3" s="56">
        <v>476.8431666666667</v>
      </c>
      <c r="V3" s="56">
        <v>2257.8483333333334</v>
      </c>
      <c r="W3" s="56">
        <v>468.41833333333335</v>
      </c>
      <c r="X3" s="57">
        <v>4715.606666666667</v>
      </c>
      <c r="Y3" s="55">
        <v>370.6666666666667</v>
      </c>
      <c r="Z3" s="56">
        <v>609.6666666666666</v>
      </c>
      <c r="AA3" s="58">
        <v>467.5466666666666</v>
      </c>
    </row>
    <row r="4" spans="1:27" s="23" customFormat="1" ht="48.95" customHeight="1">
      <c r="A4" s="39" t="s">
        <v>24</v>
      </c>
      <c r="B4" s="40"/>
      <c r="C4" s="13"/>
      <c r="D4" s="13"/>
      <c r="E4" s="15"/>
      <c r="F4" s="21">
        <v>24.066666666666663</v>
      </c>
      <c r="G4" s="14">
        <v>373.8333333333333</v>
      </c>
      <c r="H4" s="14">
        <v>45.85833333333333</v>
      </c>
      <c r="I4" s="14">
        <v>121.985</v>
      </c>
      <c r="J4" s="14">
        <v>311.575</v>
      </c>
      <c r="K4" s="14">
        <v>156.63666666666666</v>
      </c>
      <c r="L4" s="14">
        <v>132.73266666666666</v>
      </c>
      <c r="M4" s="14">
        <v>209.82333333333335</v>
      </c>
      <c r="N4" s="14">
        <v>144.22583333333333</v>
      </c>
      <c r="O4" s="14">
        <v>133.635</v>
      </c>
      <c r="P4" s="14">
        <v>83.80166666666666</v>
      </c>
      <c r="Q4" s="14">
        <v>126.96666666666665</v>
      </c>
      <c r="R4" s="14">
        <v>15.57</v>
      </c>
      <c r="S4" s="14">
        <v>8</v>
      </c>
      <c r="T4" s="14">
        <v>9.87</v>
      </c>
      <c r="U4" s="14">
        <v>1.05</v>
      </c>
      <c r="V4" s="14">
        <v>53.300000000000004</v>
      </c>
      <c r="W4" s="14">
        <v>39.42</v>
      </c>
      <c r="X4" s="34">
        <v>137.32833333333335</v>
      </c>
      <c r="Y4" s="21">
        <v>19.058333333333334</v>
      </c>
      <c r="Z4" s="14">
        <v>14.300000000000002</v>
      </c>
      <c r="AA4" s="36">
        <v>13.488333333333332</v>
      </c>
    </row>
    <row r="5" spans="1:27" s="24" customFormat="1" ht="15.75">
      <c r="A5" s="19" t="s">
        <v>70</v>
      </c>
      <c r="B5" s="41">
        <v>1</v>
      </c>
      <c r="C5" s="11">
        <f>_xlfn.PERCENTILE.INC(F4:AA4,0.25)</f>
        <v>16.442083333333333</v>
      </c>
      <c r="D5" s="11">
        <f>_xlfn.PERCENTILE.INC(F4:AA4,0.5)</f>
        <v>68.55083333333333</v>
      </c>
      <c r="E5" s="16">
        <f>_xlfn.PERCENTILE.INC(F4:AA4,0.75)</f>
        <v>136.405</v>
      </c>
      <c r="F5" s="22">
        <f>IF(F4&lt;=$C$5,0,IF(F4&lt;=$D$5,1,IF(F4&lt;=$E$5,2,3)))</f>
        <v>1</v>
      </c>
      <c r="G5" s="22">
        <f>IF(G4&lt;=$C$5,0,IF(G4&lt;=$D$5,1,IF(G4&lt;=$E$5,2,3)))</f>
        <v>3</v>
      </c>
      <c r="H5" s="22">
        <f aca="true" t="shared" si="0" ref="H5:K5">IF(H4&lt;=$C$5,0,IF(H4&lt;=$D$5,1,IF(H4&lt;=$E$5,2,3)))</f>
        <v>1</v>
      </c>
      <c r="I5" s="22">
        <f t="shared" si="0"/>
        <v>2</v>
      </c>
      <c r="J5" s="22">
        <f t="shared" si="0"/>
        <v>3</v>
      </c>
      <c r="K5" s="22">
        <f t="shared" si="0"/>
        <v>3</v>
      </c>
      <c r="L5" s="22">
        <f>IF(L4&lt;=$C$5,0,IF(L4&lt;=$D$5,1,IF(L4&lt;=$E$5,2,3)))</f>
        <v>2</v>
      </c>
      <c r="M5" s="22">
        <f>IF(M4&lt;=$C$5,0,IF(M4&lt;=$D$5,1,IF(M4&lt;=$E$5,2,3)))</f>
        <v>3</v>
      </c>
      <c r="N5" s="22">
        <f aca="true" t="shared" si="1" ref="N5">IF(N4&lt;=$C$5,0,IF(N4&lt;=$D$5,1,IF(N4&lt;=$E$5,2,3)))</f>
        <v>3</v>
      </c>
      <c r="O5" s="22">
        <f aca="true" t="shared" si="2" ref="O5">IF(O4&lt;=$C$5,0,IF(O4&lt;=$D$5,1,IF(O4&lt;=$E$5,2,3)))</f>
        <v>2</v>
      </c>
      <c r="P5" s="22">
        <f>IF(P4&lt;=$C$5,0,IF(P4&lt;=$D$5,1,IF(P4&lt;=$E$5,2,3)))</f>
        <v>2</v>
      </c>
      <c r="Q5" s="22">
        <f>IF(Q4&lt;=$C$5,0,IF(Q4&lt;=$D$5,1,IF(Q4&lt;=$E$5,2,3)))</f>
        <v>2</v>
      </c>
      <c r="R5" s="22">
        <f aca="true" t="shared" si="3" ref="R5">IF(R4&lt;=$C$5,0,IF(R4&lt;=$D$5,1,IF(R4&lt;=$E$5,2,3)))</f>
        <v>0</v>
      </c>
      <c r="S5" s="22">
        <f>IF(S4&lt;=$C$5,0,IF(S4&lt;=$D$5,1,IF(S4&lt;=$E$5,2,3)))</f>
        <v>0</v>
      </c>
      <c r="T5" s="22">
        <f>IF(T4&lt;=$C$5,0,IF(T4&lt;=$D$5,1,IF(T4&lt;=$E$5,2,3)))</f>
        <v>0</v>
      </c>
      <c r="U5" s="22">
        <f aca="true" t="shared" si="4" ref="U5">IF(U4&lt;=$C$5,0,IF(U4&lt;=$D$5,1,IF(U4&lt;=$E$5,2,3)))</f>
        <v>0</v>
      </c>
      <c r="V5" s="22">
        <f aca="true" t="shared" si="5" ref="V5">IF(V4&lt;=$C$5,0,IF(V4&lt;=$D$5,1,IF(V4&lt;=$E$5,2,3)))</f>
        <v>1</v>
      </c>
      <c r="W5" s="22">
        <f aca="true" t="shared" si="6" ref="W5">IF(W4&lt;=$C$5,0,IF(W4&lt;=$D$5,1,IF(W4&lt;=$E$5,2,3)))</f>
        <v>1</v>
      </c>
      <c r="X5" s="22">
        <f>IF(X4&lt;=$C$5,0,IF(X4&lt;=$D$5,1,IF(X4&lt;=$E$5,2,3)))</f>
        <v>3</v>
      </c>
      <c r="Y5" s="22">
        <f>IF(Y4&lt;=$C$5,0,IF(Y4&lt;=$D$5,1,IF(Y4&lt;=$E$5,2,3)))</f>
        <v>1</v>
      </c>
      <c r="Z5" s="22">
        <f aca="true" t="shared" si="7" ref="Z5">IF(Z4&lt;=$C$5,0,IF(Z4&lt;=$D$5,1,IF(Z4&lt;=$E$5,2,3)))</f>
        <v>0</v>
      </c>
      <c r="AA5" s="22">
        <f aca="true" t="shared" si="8" ref="AA5">IF(AA4&lt;=$C$5,0,IF(AA4&lt;=$D$5,1,IF(AA4&lt;=$E$5,2,3)))</f>
        <v>0</v>
      </c>
    </row>
    <row r="6" spans="1:27" s="23" customFormat="1" ht="48.95" customHeight="1">
      <c r="A6" s="39" t="s">
        <v>29</v>
      </c>
      <c r="B6" s="40"/>
      <c r="C6" s="13"/>
      <c r="D6" s="13"/>
      <c r="E6" s="15"/>
      <c r="F6" s="70">
        <v>0.2283062637559875</v>
      </c>
      <c r="G6" s="71">
        <v>0.06155148062743965</v>
      </c>
      <c r="H6" s="71">
        <v>0.010067064531234642</v>
      </c>
      <c r="I6" s="71">
        <v>0.04790550895507913</v>
      </c>
      <c r="J6" s="71">
        <v>0.08167922150819147</v>
      </c>
      <c r="K6" s="71">
        <v>0.04646508359406365</v>
      </c>
      <c r="L6" s="71">
        <v>0.02805020373743965</v>
      </c>
      <c r="M6" s="71">
        <v>0.07539493342590552</v>
      </c>
      <c r="N6" s="71">
        <v>0.027122251247719293</v>
      </c>
      <c r="O6" s="71">
        <v>0.07001077197535525</v>
      </c>
      <c r="P6" s="71">
        <v>0.09833333333333334</v>
      </c>
      <c r="Q6" s="71">
        <v>0.3361744517642152</v>
      </c>
      <c r="R6" s="71">
        <v>0.007373826704876502</v>
      </c>
      <c r="S6" s="71">
        <v>0.00446745349483044</v>
      </c>
      <c r="T6" s="71">
        <v>0.04661853168909345</v>
      </c>
      <c r="U6" s="71">
        <v>0.0023333333333333335</v>
      </c>
      <c r="V6" s="71">
        <v>0.02360242396215839</v>
      </c>
      <c r="W6" s="71">
        <v>0.08418720910764754</v>
      </c>
      <c r="X6" s="72">
        <v>0.029116528954961796</v>
      </c>
      <c r="Y6" s="70">
        <v>0.05</v>
      </c>
      <c r="Z6" s="71">
        <v>0.023500000000000004</v>
      </c>
      <c r="AA6" s="73">
        <v>0.02885444554468239</v>
      </c>
    </row>
    <row r="7" spans="1:27" s="25" customFormat="1" ht="15.75">
      <c r="A7" s="19" t="s">
        <v>70</v>
      </c>
      <c r="B7" s="41">
        <v>1</v>
      </c>
      <c r="C7" s="74">
        <f>_xlfn.PERCENTILE.INC(F6:AA6,0.25)</f>
        <v>0.024482380783548613</v>
      </c>
      <c r="D7" s="74">
        <f>_xlfn.PERCENTILE.INC(F6:AA6,0.5)</f>
        <v>0.046541807641578545</v>
      </c>
      <c r="E7" s="75">
        <f>_xlfn.PERCENTILE.INC(F6:AA6,0.75)</f>
        <v>0.07404889306326795</v>
      </c>
      <c r="F7" s="22">
        <f>IF(F6&lt;=$C$7,0,IF(F6&lt;=$D$7,1,IF(F6&lt;=$E$7,2,3)))</f>
        <v>3</v>
      </c>
      <c r="G7" s="22">
        <f aca="true" t="shared" si="9" ref="G7:H7">IF(G6&lt;=$C$7,0,IF(G6&lt;=$D$7,1,IF(G6&lt;=$E$7,2,3)))</f>
        <v>2</v>
      </c>
      <c r="H7" s="22">
        <f t="shared" si="9"/>
        <v>0</v>
      </c>
      <c r="I7" s="22">
        <f>IF(I6&lt;=$C$7,0,IF(I6&lt;=$D$7,1,IF(I6&lt;=$E$7,2,3)))</f>
        <v>2</v>
      </c>
      <c r="J7" s="22">
        <f aca="true" t="shared" si="10" ref="J7">IF(J6&lt;=$C$7,0,IF(J6&lt;=$D$7,1,IF(J6&lt;=$E$7,2,3)))</f>
        <v>3</v>
      </c>
      <c r="K7" s="22">
        <f aca="true" t="shared" si="11" ref="K7">IF(K6&lt;=$C$7,0,IF(K6&lt;=$D$7,1,IF(K6&lt;=$E$7,2,3)))</f>
        <v>1</v>
      </c>
      <c r="L7" s="22">
        <f aca="true" t="shared" si="12" ref="L7">IF(L6&lt;=$C$7,0,IF(L6&lt;=$D$7,1,IF(L6&lt;=$E$7,2,3)))</f>
        <v>1</v>
      </c>
      <c r="M7" s="22">
        <f aca="true" t="shared" si="13" ref="M7">IF(M6&lt;=$C$7,0,IF(M6&lt;=$D$7,1,IF(M6&lt;=$E$7,2,3)))</f>
        <v>3</v>
      </c>
      <c r="N7" s="22">
        <f aca="true" t="shared" si="14" ref="N7">IF(N6&lt;=$C$7,0,IF(N6&lt;=$D$7,1,IF(N6&lt;=$E$7,2,3)))</f>
        <v>1</v>
      </c>
      <c r="O7" s="22">
        <f aca="true" t="shared" si="15" ref="O7">IF(O6&lt;=$C$7,0,IF(O6&lt;=$D$7,1,IF(O6&lt;=$E$7,2,3)))</f>
        <v>2</v>
      </c>
      <c r="P7" s="22">
        <f aca="true" t="shared" si="16" ref="P7">IF(P6&lt;=$C$7,0,IF(P6&lt;=$D$7,1,IF(P6&lt;=$E$7,2,3)))</f>
        <v>3</v>
      </c>
      <c r="Q7" s="22">
        <f aca="true" t="shared" si="17" ref="Q7">IF(Q6&lt;=$C$7,0,IF(Q6&lt;=$D$7,1,IF(Q6&lt;=$E$7,2,3)))</f>
        <v>3</v>
      </c>
      <c r="R7" s="22">
        <f aca="true" t="shared" si="18" ref="R7">IF(R6&lt;=$C$7,0,IF(R6&lt;=$D$7,1,IF(R6&lt;=$E$7,2,3)))</f>
        <v>0</v>
      </c>
      <c r="S7" s="22">
        <f aca="true" t="shared" si="19" ref="S7">IF(S6&lt;=$C$7,0,IF(S6&lt;=$D$7,1,IF(S6&lt;=$E$7,2,3)))</f>
        <v>0</v>
      </c>
      <c r="T7" s="22">
        <f aca="true" t="shared" si="20" ref="T7">IF(T6&lt;=$C$7,0,IF(T6&lt;=$D$7,1,IF(T6&lt;=$E$7,2,3)))</f>
        <v>2</v>
      </c>
      <c r="U7" s="22">
        <f aca="true" t="shared" si="21" ref="U7">IF(U6&lt;=$C$7,0,IF(U6&lt;=$D$7,1,IF(U6&lt;=$E$7,2,3)))</f>
        <v>0</v>
      </c>
      <c r="V7" s="22">
        <f aca="true" t="shared" si="22" ref="V7">IF(V6&lt;=$C$7,0,IF(V6&lt;=$D$7,1,IF(V6&lt;=$E$7,2,3)))</f>
        <v>0</v>
      </c>
      <c r="W7" s="22">
        <f aca="true" t="shared" si="23" ref="W7">IF(W6&lt;=$C$7,0,IF(W6&lt;=$D$7,1,IF(W6&lt;=$E$7,2,3)))</f>
        <v>3</v>
      </c>
      <c r="X7" s="22">
        <f aca="true" t="shared" si="24" ref="X7">IF(X6&lt;=$C$7,0,IF(X6&lt;=$D$7,1,IF(X6&lt;=$E$7,2,3)))</f>
        <v>1</v>
      </c>
      <c r="Y7" s="22">
        <f aca="true" t="shared" si="25" ref="Y7">IF(Y6&lt;=$C$7,0,IF(Y6&lt;=$D$7,1,IF(Y6&lt;=$E$7,2,3)))</f>
        <v>2</v>
      </c>
      <c r="Z7" s="22">
        <f aca="true" t="shared" si="26" ref="Z7">IF(Z6&lt;=$C$7,0,IF(Z6&lt;=$D$7,1,IF(Z6&lt;=$E$7,2,3)))</f>
        <v>0</v>
      </c>
      <c r="AA7" s="22">
        <f aca="true" t="shared" si="27" ref="AA7">IF(AA6&lt;=$C$7,0,IF(AA6&lt;=$D$7,1,IF(AA6&lt;=$E$7,2,3)))</f>
        <v>1</v>
      </c>
    </row>
    <row r="8" spans="1:27" s="33" customFormat="1" ht="36.6" customHeight="1">
      <c r="A8" s="27" t="s">
        <v>25</v>
      </c>
      <c r="B8" s="42"/>
      <c r="C8" s="28"/>
      <c r="D8" s="28"/>
      <c r="E8" s="29"/>
      <c r="F8" s="30">
        <v>48.666666666666664</v>
      </c>
      <c r="G8" s="31">
        <v>212.16666666666666</v>
      </c>
      <c r="H8" s="31">
        <v>211.83333333333334</v>
      </c>
      <c r="I8" s="31">
        <v>145.5</v>
      </c>
      <c r="J8" s="31">
        <v>268.1666666666667</v>
      </c>
      <c r="K8" s="31">
        <v>42.166666666666664</v>
      </c>
      <c r="L8" s="31">
        <v>93</v>
      </c>
      <c r="M8" s="31">
        <v>391.6666666666667</v>
      </c>
      <c r="N8" s="31">
        <v>441.8333333333333</v>
      </c>
      <c r="O8" s="31">
        <v>247</v>
      </c>
      <c r="P8" s="31">
        <v>115.83333333333333</v>
      </c>
      <c r="Q8" s="31">
        <v>291.1666666666667</v>
      </c>
      <c r="R8" s="31">
        <v>13.5</v>
      </c>
      <c r="S8" s="31">
        <v>80</v>
      </c>
      <c r="T8" s="31">
        <v>66.66666666666667</v>
      </c>
      <c r="U8" s="31">
        <v>198.5</v>
      </c>
      <c r="V8" s="32">
        <v>90</v>
      </c>
      <c r="W8" s="31">
        <v>56.166666666666664</v>
      </c>
      <c r="X8" s="35">
        <v>140.83333333333334</v>
      </c>
      <c r="Y8" s="30">
        <v>13.5</v>
      </c>
      <c r="Z8" s="31">
        <v>14.5</v>
      </c>
      <c r="AA8" s="37">
        <v>8.333333333333334</v>
      </c>
    </row>
    <row r="9" spans="1:27" s="23" customFormat="1" ht="48.95" customHeight="1">
      <c r="A9" s="39" t="s">
        <v>0</v>
      </c>
      <c r="B9" s="40"/>
      <c r="C9" s="13"/>
      <c r="D9" s="13"/>
      <c r="E9" s="15"/>
      <c r="F9" s="21">
        <v>7.5</v>
      </c>
      <c r="G9" s="14">
        <v>261.6666666666667</v>
      </c>
      <c r="H9" s="14">
        <v>231.66666666666666</v>
      </c>
      <c r="I9" s="14">
        <v>150.83333333333334</v>
      </c>
      <c r="J9" s="14">
        <v>113.83333333333333</v>
      </c>
      <c r="K9" s="14">
        <v>96.5</v>
      </c>
      <c r="L9" s="14">
        <v>111</v>
      </c>
      <c r="M9" s="14">
        <v>76.5</v>
      </c>
      <c r="N9" s="14">
        <v>189.83333333333334</v>
      </c>
      <c r="O9" s="14">
        <v>40.333333333333336</v>
      </c>
      <c r="P9" s="14">
        <v>26.166666666666668</v>
      </c>
      <c r="Q9" s="14">
        <v>128.66666666666666</v>
      </c>
      <c r="R9" s="14">
        <v>40.666666666666664</v>
      </c>
      <c r="S9" s="14">
        <v>17.833333333333332</v>
      </c>
      <c r="T9" s="14">
        <v>18</v>
      </c>
      <c r="U9" s="14">
        <v>2.1666666666666665</v>
      </c>
      <c r="V9" s="14">
        <v>43.333333333333336</v>
      </c>
      <c r="W9" s="14">
        <v>28.5</v>
      </c>
      <c r="X9" s="34">
        <v>235</v>
      </c>
      <c r="Y9" s="21">
        <v>12.333333333333334</v>
      </c>
      <c r="Z9" s="14">
        <v>11.5</v>
      </c>
      <c r="AA9" s="36">
        <v>0</v>
      </c>
    </row>
    <row r="10" spans="1:27" ht="15.75">
      <c r="A10" s="19" t="s">
        <v>70</v>
      </c>
      <c r="B10" s="114">
        <v>1</v>
      </c>
      <c r="C10" s="59">
        <f>_xlfn.PERCENTILE.INC(F9:AA9,0.25)</f>
        <v>17.875</v>
      </c>
      <c r="D10" s="59">
        <f>_xlfn.PERCENTILE.INC(F9:AA9,0.5)</f>
        <v>42</v>
      </c>
      <c r="E10" s="60">
        <f>_xlfn.PERCENTILE.INC(F9:AA9,0.75)</f>
        <v>124.95833333333333</v>
      </c>
      <c r="F10" s="22">
        <f>IF(F9&lt;=$C$10,0,IF(F9&lt;=$D$10,1,IF(F9&lt;=$E$10,2,3)))</f>
        <v>0</v>
      </c>
      <c r="G10" s="22">
        <f aca="true" t="shared" si="28" ref="G10:I10">IF(G9&lt;=$C$10,0,IF(G9&lt;=$D$10,1,IF(G9&lt;=$E$10,2,3)))</f>
        <v>3</v>
      </c>
      <c r="H10" s="22">
        <f t="shared" si="28"/>
        <v>3</v>
      </c>
      <c r="I10" s="22">
        <f t="shared" si="28"/>
        <v>3</v>
      </c>
      <c r="J10" s="69">
        <f>IF(J9&lt;=$C$10,0,IF(J9&lt;=$D$10,1,IF(J9&lt;=$E$10,2,3)))</f>
        <v>2</v>
      </c>
      <c r="K10" s="69">
        <f aca="true" t="shared" si="29" ref="K10:M10">IF(K9&lt;=$C$10,0,IF(K9&lt;=$D$10,1,IF(K9&lt;=$E$10,2,3)))</f>
        <v>2</v>
      </c>
      <c r="L10" s="69">
        <f t="shared" si="29"/>
        <v>2</v>
      </c>
      <c r="M10" s="69">
        <f t="shared" si="29"/>
        <v>2</v>
      </c>
      <c r="N10" s="69">
        <f aca="true" t="shared" si="30" ref="N10">IF(N9&lt;=$C$10,0,IF(N9&lt;=$D$10,1,IF(N9&lt;=$E$10,2,3)))</f>
        <v>3</v>
      </c>
      <c r="O10" s="69">
        <f aca="true" t="shared" si="31" ref="O10">IF(O9&lt;=$C$10,0,IF(O9&lt;=$D$10,1,IF(O9&lt;=$E$10,2,3)))</f>
        <v>1</v>
      </c>
      <c r="P10" s="69">
        <f aca="true" t="shared" si="32" ref="P10">IF(P9&lt;=$C$10,0,IF(P9&lt;=$D$10,1,IF(P9&lt;=$E$10,2,3)))</f>
        <v>1</v>
      </c>
      <c r="Q10" s="69">
        <f aca="true" t="shared" si="33" ref="Q10">IF(Q9&lt;=$C$10,0,IF(Q9&lt;=$D$10,1,IF(Q9&lt;=$E$10,2,3)))</f>
        <v>3</v>
      </c>
      <c r="R10" s="69">
        <f aca="true" t="shared" si="34" ref="R10">IF(R9&lt;=$C$10,0,IF(R9&lt;=$D$10,1,IF(R9&lt;=$E$10,2,3)))</f>
        <v>1</v>
      </c>
      <c r="S10" s="69">
        <f aca="true" t="shared" si="35" ref="S10">IF(S9&lt;=$C$10,0,IF(S9&lt;=$D$10,1,IF(S9&lt;=$E$10,2,3)))</f>
        <v>0</v>
      </c>
      <c r="T10" s="69">
        <f aca="true" t="shared" si="36" ref="T10">IF(T9&lt;=$C$10,0,IF(T9&lt;=$D$10,1,IF(T9&lt;=$E$10,2,3)))</f>
        <v>1</v>
      </c>
      <c r="U10" s="69">
        <f aca="true" t="shared" si="37" ref="U10">IF(U9&lt;=$C$10,0,IF(U9&lt;=$D$10,1,IF(U9&lt;=$E$10,2,3)))</f>
        <v>0</v>
      </c>
      <c r="V10" s="69">
        <f aca="true" t="shared" si="38" ref="V10">IF(V9&lt;=$C$10,0,IF(V9&lt;=$D$10,1,IF(V9&lt;=$E$10,2,3)))</f>
        <v>2</v>
      </c>
      <c r="W10" s="69">
        <f aca="true" t="shared" si="39" ref="W10">IF(W9&lt;=$C$10,0,IF(W9&lt;=$D$10,1,IF(W9&lt;=$E$10,2,3)))</f>
        <v>1</v>
      </c>
      <c r="X10" s="69">
        <f aca="true" t="shared" si="40" ref="X10">IF(X9&lt;=$C$10,0,IF(X9&lt;=$D$10,1,IF(X9&lt;=$E$10,2,3)))</f>
        <v>3</v>
      </c>
      <c r="Y10" s="69">
        <f aca="true" t="shared" si="41" ref="Y10">IF(Y9&lt;=$C$10,0,IF(Y9&lt;=$D$10,1,IF(Y9&lt;=$E$10,2,3)))</f>
        <v>0</v>
      </c>
      <c r="Z10" s="69">
        <f aca="true" t="shared" si="42" ref="Z10">IF(Z9&lt;=$C$10,0,IF(Z9&lt;=$D$10,1,IF(Z9&lt;=$E$10,2,3)))</f>
        <v>0</v>
      </c>
      <c r="AA10" s="69">
        <f aca="true" t="shared" si="43" ref="AA10">IF(AA9&lt;=$C$10,0,IF(AA9&lt;=$D$10,1,IF(AA9&lt;=$E$10,2,3)))</f>
        <v>0</v>
      </c>
    </row>
    <row r="11" spans="1:27" s="23" customFormat="1" ht="48.95" customHeight="1">
      <c r="A11" s="39" t="s">
        <v>3</v>
      </c>
      <c r="B11" s="40"/>
      <c r="C11" s="13"/>
      <c r="D11" s="13"/>
      <c r="E11" s="15"/>
      <c r="F11" s="76">
        <v>0.1540532879818594</v>
      </c>
      <c r="G11" s="77">
        <v>1.2390831153888653</v>
      </c>
      <c r="H11" s="77">
        <v>1.099439106427751</v>
      </c>
      <c r="I11" s="77">
        <v>1.0519414478224547</v>
      </c>
      <c r="J11" s="77">
        <v>0.43872139370182633</v>
      </c>
      <c r="K11" s="77">
        <v>2.313871635610766</v>
      </c>
      <c r="L11" s="77">
        <v>1.2019652855543113</v>
      </c>
      <c r="M11" s="77">
        <v>0.19780812134933778</v>
      </c>
      <c r="N11" s="77">
        <v>0.42964488483675844</v>
      </c>
      <c r="O11" s="77">
        <v>0.16329284750337383</v>
      </c>
      <c r="P11" s="77">
        <v>0.225</v>
      </c>
      <c r="Q11" s="77">
        <v>0.44845799625211386</v>
      </c>
      <c r="R11" s="77">
        <v>3.051282051282051</v>
      </c>
      <c r="S11" s="77">
        <v>0.22291666666666665</v>
      </c>
      <c r="T11" s="77">
        <v>0.27478632478632475</v>
      </c>
      <c r="U11" s="77">
        <v>0.011500000000000002</v>
      </c>
      <c r="V11" s="77">
        <v>0.4814814814814814</v>
      </c>
      <c r="W11" s="77">
        <v>0.5075541710937249</v>
      </c>
      <c r="X11" s="78">
        <v>1.73</v>
      </c>
      <c r="Y11" s="76">
        <v>0.917094017094017</v>
      </c>
      <c r="Z11" s="77">
        <v>0.7833333333333333</v>
      </c>
      <c r="AA11" s="79">
        <v>0</v>
      </c>
    </row>
    <row r="12" spans="1:27" s="25" customFormat="1" ht="15.75">
      <c r="A12" s="19" t="s">
        <v>70</v>
      </c>
      <c r="B12" s="114">
        <v>1</v>
      </c>
      <c r="C12" s="115">
        <f>_xlfn.PERCENTILE.INC(F11:AA11,0.25)</f>
        <v>0.22343749999999998</v>
      </c>
      <c r="D12" s="115">
        <f>_xlfn.PERCENTILE.INC(F11:AA11,0.5)</f>
        <v>0.4649697388667976</v>
      </c>
      <c r="E12" s="116">
        <f>_xlfn.PERCENTILE.INC(F11:AA11,0.75)</f>
        <v>1.0875646917764268</v>
      </c>
      <c r="F12" s="22">
        <f>IF(F11&lt;=$C$12,0,IF(F11&lt;=$D$12,1,IF(F11&lt;=$E$12,2,3)))</f>
        <v>0</v>
      </c>
      <c r="G12" s="22">
        <f aca="true" t="shared" si="44" ref="G12:I12">IF(G11&lt;=$C$12,0,IF(G11&lt;=$D$12,1,IF(G11&lt;=$E$12,2,3)))</f>
        <v>3</v>
      </c>
      <c r="H12" s="22">
        <f t="shared" si="44"/>
        <v>3</v>
      </c>
      <c r="I12" s="69">
        <f t="shared" si="44"/>
        <v>2</v>
      </c>
      <c r="J12" s="69">
        <f aca="true" t="shared" si="45" ref="J12">IF(J11&lt;=$C$12,0,IF(J11&lt;=$D$12,1,IF(J11&lt;=$E$12,2,3)))</f>
        <v>1</v>
      </c>
      <c r="K12" s="69">
        <f aca="true" t="shared" si="46" ref="K12">IF(K11&lt;=$C$12,0,IF(K11&lt;=$D$12,1,IF(K11&lt;=$E$12,2,3)))</f>
        <v>3</v>
      </c>
      <c r="L12" s="69">
        <f aca="true" t="shared" si="47" ref="L12">IF(L11&lt;=$C$12,0,IF(L11&lt;=$D$12,1,IF(L11&lt;=$E$12,2,3)))</f>
        <v>3</v>
      </c>
      <c r="M12" s="69">
        <f aca="true" t="shared" si="48" ref="M12">IF(M11&lt;=$C$12,0,IF(M11&lt;=$D$12,1,IF(M11&lt;=$E$12,2,3)))</f>
        <v>0</v>
      </c>
      <c r="N12" s="69">
        <f aca="true" t="shared" si="49" ref="N12">IF(N11&lt;=$C$12,0,IF(N11&lt;=$D$12,1,IF(N11&lt;=$E$12,2,3)))</f>
        <v>1</v>
      </c>
      <c r="O12" s="69">
        <f aca="true" t="shared" si="50" ref="O12">IF(O11&lt;=$C$12,0,IF(O11&lt;=$D$12,1,IF(O11&lt;=$E$12,2,3)))</f>
        <v>0</v>
      </c>
      <c r="P12" s="69">
        <f aca="true" t="shared" si="51" ref="P12">IF(P11&lt;=$C$12,0,IF(P11&lt;=$D$12,1,IF(P11&lt;=$E$12,2,3)))</f>
        <v>1</v>
      </c>
      <c r="Q12" s="69">
        <f aca="true" t="shared" si="52" ref="Q12">IF(Q11&lt;=$C$12,0,IF(Q11&lt;=$D$12,1,IF(Q11&lt;=$E$12,2,3)))</f>
        <v>1</v>
      </c>
      <c r="R12" s="69">
        <f aca="true" t="shared" si="53" ref="R12">IF(R11&lt;=$C$12,0,IF(R11&lt;=$D$12,1,IF(R11&lt;=$E$12,2,3)))</f>
        <v>3</v>
      </c>
      <c r="S12" s="69">
        <f aca="true" t="shared" si="54" ref="S12">IF(S11&lt;=$C$12,0,IF(S11&lt;=$D$12,1,IF(S11&lt;=$E$12,2,3)))</f>
        <v>0</v>
      </c>
      <c r="T12" s="69">
        <f aca="true" t="shared" si="55" ref="T12">IF(T11&lt;=$C$12,0,IF(T11&lt;=$D$12,1,IF(T11&lt;=$E$12,2,3)))</f>
        <v>1</v>
      </c>
      <c r="U12" s="69">
        <f aca="true" t="shared" si="56" ref="U12">IF(U11&lt;=$C$12,0,IF(U11&lt;=$D$12,1,IF(U11&lt;=$E$12,2,3)))</f>
        <v>0</v>
      </c>
      <c r="V12" s="69">
        <f aca="true" t="shared" si="57" ref="V12">IF(V11&lt;=$C$12,0,IF(V11&lt;=$D$12,1,IF(V11&lt;=$E$12,2,3)))</f>
        <v>2</v>
      </c>
      <c r="W12" s="69">
        <f aca="true" t="shared" si="58" ref="W12">IF(W11&lt;=$C$12,0,IF(W11&lt;=$D$12,1,IF(W11&lt;=$E$12,2,3)))</f>
        <v>2</v>
      </c>
      <c r="X12" s="69">
        <f aca="true" t="shared" si="59" ref="X12">IF(X11&lt;=$C$12,0,IF(X11&lt;=$D$12,1,IF(X11&lt;=$E$12,2,3)))</f>
        <v>3</v>
      </c>
      <c r="Y12" s="69">
        <f aca="true" t="shared" si="60" ref="Y12">IF(Y11&lt;=$C$12,0,IF(Y11&lt;=$D$12,1,IF(Y11&lt;=$E$12,2,3)))</f>
        <v>2</v>
      </c>
      <c r="Z12" s="69">
        <f aca="true" t="shared" si="61" ref="Z12">IF(Z11&lt;=$C$12,0,IF(Z11&lt;=$D$12,1,IF(Z11&lt;=$E$12,2,3)))</f>
        <v>2</v>
      </c>
      <c r="AA12" s="69">
        <f aca="true" t="shared" si="62" ref="AA12">IF(AA11&lt;=$C$12,0,IF(AA11&lt;=$D$12,1,IF(AA11&lt;=$E$12,2,3)))</f>
        <v>0</v>
      </c>
    </row>
    <row r="13" spans="1:27" s="33" customFormat="1" ht="36.6" customHeight="1">
      <c r="A13" s="27" t="s">
        <v>26</v>
      </c>
      <c r="B13" s="117"/>
      <c r="C13" s="118"/>
      <c r="D13" s="118"/>
      <c r="E13" s="119"/>
      <c r="F13" s="30">
        <v>48.666666666666664</v>
      </c>
      <c r="G13" s="31">
        <v>176.5</v>
      </c>
      <c r="H13" s="31">
        <v>279.6666666666667</v>
      </c>
      <c r="I13" s="31">
        <v>236.16666666666666</v>
      </c>
      <c r="J13" s="31">
        <v>131.83333333333334</v>
      </c>
      <c r="K13" s="31">
        <v>241.16666666666666</v>
      </c>
      <c r="L13" s="31">
        <v>221.5</v>
      </c>
      <c r="M13" s="31">
        <v>313</v>
      </c>
      <c r="N13" s="31">
        <v>475</v>
      </c>
      <c r="O13" s="31">
        <v>169.66666666666666</v>
      </c>
      <c r="P13" s="31">
        <v>115.83333333333333</v>
      </c>
      <c r="Q13" s="31">
        <v>207</v>
      </c>
      <c r="R13" s="31">
        <v>14.833333333333334</v>
      </c>
      <c r="S13" s="31">
        <v>80</v>
      </c>
      <c r="T13" s="31">
        <v>66.66666666666667</v>
      </c>
      <c r="U13" s="31">
        <v>220.83333333333334</v>
      </c>
      <c r="V13" s="32">
        <v>187.33333333333334</v>
      </c>
      <c r="W13" s="31">
        <v>45.333333333333336</v>
      </c>
      <c r="X13" s="35">
        <v>308.6666666666667</v>
      </c>
      <c r="Y13" s="30">
        <v>24.5</v>
      </c>
      <c r="Z13" s="31">
        <v>15.5</v>
      </c>
      <c r="AA13" s="37">
        <v>14.166666666666666</v>
      </c>
    </row>
    <row r="14" spans="1:27" s="23" customFormat="1" ht="90">
      <c r="A14" s="39" t="s">
        <v>27</v>
      </c>
      <c r="B14" s="40"/>
      <c r="C14" s="13"/>
      <c r="D14" s="13"/>
      <c r="E14" s="15"/>
      <c r="F14" s="63">
        <v>16680217.833333334</v>
      </c>
      <c r="G14" s="64">
        <v>80474000</v>
      </c>
      <c r="H14" s="64">
        <v>53253221.166666664</v>
      </c>
      <c r="I14" s="64">
        <v>61654353.5</v>
      </c>
      <c r="J14" s="64">
        <v>33762128.446666665</v>
      </c>
      <c r="K14" s="64">
        <v>15838500</v>
      </c>
      <c r="L14" s="64">
        <v>3800833.3333333335</v>
      </c>
      <c r="M14" s="64">
        <v>343177733.1466667</v>
      </c>
      <c r="N14" s="64">
        <v>177642950.66666666</v>
      </c>
      <c r="O14" s="64">
        <v>107772720.16666667</v>
      </c>
      <c r="P14" s="64">
        <v>72158666.66666667</v>
      </c>
      <c r="Q14" s="64">
        <v>129807000.615</v>
      </c>
      <c r="R14" s="64">
        <v>10053719.201666666</v>
      </c>
      <c r="S14" s="64">
        <v>2460833.3333333335</v>
      </c>
      <c r="T14" s="64">
        <v>18596333.333333332</v>
      </c>
      <c r="U14" s="64">
        <v>74030666.66666667</v>
      </c>
      <c r="V14" s="64">
        <v>14960000</v>
      </c>
      <c r="W14" s="64">
        <v>83537927.5</v>
      </c>
      <c r="X14" s="65">
        <v>109331666.66666667</v>
      </c>
      <c r="Y14" s="63">
        <v>5944500</v>
      </c>
      <c r="Z14" s="64">
        <v>2659166.6666666665</v>
      </c>
      <c r="AA14" s="66">
        <v>1633627.1666666667</v>
      </c>
    </row>
    <row r="15" spans="1:27" ht="15.75">
      <c r="A15" s="19" t="s">
        <v>70</v>
      </c>
      <c r="B15" s="41">
        <v>1</v>
      </c>
      <c r="C15" s="61">
        <f>_xlfn.PERCENTILE.INC(F14:AA14,0.25)</f>
        <v>11280289.40125</v>
      </c>
      <c r="D15" s="61">
        <f>_xlfn.PERCENTILE.INC(F14:AA14,0.5)</f>
        <v>43507674.806666665</v>
      </c>
      <c r="E15" s="62">
        <f>_xlfn.PERCENTILE.INC(F14:AA14,0.75)</f>
        <v>82771945.625</v>
      </c>
      <c r="F15" s="22">
        <f>IF(F14&lt;=$C$15,0,IF(F14&lt;=$D$15,1,IF(F14&lt;=$E$15,2,3)))</f>
        <v>1</v>
      </c>
      <c r="G15" s="22">
        <f aca="true" t="shared" si="63" ref="G15:J15">IF(G14&lt;=$C$15,0,IF(G14&lt;=$D$15,1,IF(G14&lt;=$E$15,2,3)))</f>
        <v>2</v>
      </c>
      <c r="H15" s="22">
        <f t="shared" si="63"/>
        <v>2</v>
      </c>
      <c r="I15" s="22">
        <f t="shared" si="63"/>
        <v>2</v>
      </c>
      <c r="J15" s="22">
        <f t="shared" si="63"/>
        <v>1</v>
      </c>
      <c r="K15" s="22">
        <f aca="true" t="shared" si="64" ref="K15">IF(K14&lt;=$C$15,0,IF(K14&lt;=$D$15,1,IF(K14&lt;=$E$15,2,3)))</f>
        <v>1</v>
      </c>
      <c r="L15" s="22">
        <f aca="true" t="shared" si="65" ref="L15">IF(L14&lt;=$C$15,0,IF(L14&lt;=$D$15,1,IF(L14&lt;=$E$15,2,3)))</f>
        <v>0</v>
      </c>
      <c r="M15" s="22">
        <f aca="true" t="shared" si="66" ref="M15:N15">IF(M14&lt;=$C$15,0,IF(M14&lt;=$D$15,1,IF(M14&lt;=$E$15,2,3)))</f>
        <v>3</v>
      </c>
      <c r="N15" s="22">
        <f t="shared" si="66"/>
        <v>3</v>
      </c>
      <c r="O15" s="22">
        <f>IF(O14&lt;=$C$15,0,IF(O14&lt;=$D$15,1,IF(O14&lt;=$E$15,2,3)))</f>
        <v>3</v>
      </c>
      <c r="P15" s="22">
        <f aca="true" t="shared" si="67" ref="P15">IF(P14&lt;=$C$15,0,IF(P14&lt;=$D$15,1,IF(P14&lt;=$E$15,2,3)))</f>
        <v>2</v>
      </c>
      <c r="Q15" s="22">
        <f aca="true" t="shared" si="68" ref="Q15">IF(Q14&lt;=$C$15,0,IF(Q14&lt;=$D$15,1,IF(Q14&lt;=$E$15,2,3)))</f>
        <v>3</v>
      </c>
      <c r="R15" s="22">
        <f aca="true" t="shared" si="69" ref="R15">IF(R14&lt;=$C$15,0,IF(R14&lt;=$D$15,1,IF(R14&lt;=$E$15,2,3)))</f>
        <v>0</v>
      </c>
      <c r="S15" s="22">
        <f aca="true" t="shared" si="70" ref="S15">IF(S14&lt;=$C$15,0,IF(S14&lt;=$D$15,1,IF(S14&lt;=$E$15,2,3)))</f>
        <v>0</v>
      </c>
      <c r="T15" s="22">
        <f>IF(T14&lt;=$C$15,0,IF(T14&lt;=$D$15,1,IF(T14&lt;=$E$15,2,3)))</f>
        <v>1</v>
      </c>
      <c r="U15" s="22">
        <f aca="true" t="shared" si="71" ref="U15">IF(U14&lt;=$C$15,0,IF(U14&lt;=$D$15,1,IF(U14&lt;=$E$15,2,3)))</f>
        <v>2</v>
      </c>
      <c r="V15" s="22">
        <f aca="true" t="shared" si="72" ref="V15">IF(V14&lt;=$C$15,0,IF(V14&lt;=$D$15,1,IF(V14&lt;=$E$15,2,3)))</f>
        <v>1</v>
      </c>
      <c r="W15" s="22">
        <f aca="true" t="shared" si="73" ref="W15">IF(W14&lt;=$C$15,0,IF(W14&lt;=$D$15,1,IF(W14&lt;=$E$15,2,3)))</f>
        <v>3</v>
      </c>
      <c r="X15" s="22">
        <f aca="true" t="shared" si="74" ref="X15">IF(X14&lt;=$C$15,0,IF(X14&lt;=$D$15,1,IF(X14&lt;=$E$15,2,3)))</f>
        <v>3</v>
      </c>
      <c r="Y15" s="22">
        <f>IF(Y14&lt;=$C$15,0,IF(Y14&lt;=$D$15,1,IF(Y14&lt;=$E$15,2,3)))</f>
        <v>0</v>
      </c>
      <c r="Z15" s="22">
        <f aca="true" t="shared" si="75" ref="Z15">IF(Z14&lt;=$C$15,0,IF(Z14&lt;=$D$15,1,IF(Z14&lt;=$E$15,2,3)))</f>
        <v>0</v>
      </c>
      <c r="AA15" s="22">
        <f aca="true" t="shared" si="76" ref="AA15">IF(AA14&lt;=$C$15,0,IF(AA14&lt;=$D$15,1,IF(AA14&lt;=$E$15,2,3)))</f>
        <v>0</v>
      </c>
    </row>
    <row r="16" spans="1:27" s="33" customFormat="1" ht="36.6" customHeight="1">
      <c r="A16" s="27" t="s">
        <v>1</v>
      </c>
      <c r="B16" s="42"/>
      <c r="C16" s="28"/>
      <c r="D16" s="28"/>
      <c r="E16" s="29"/>
      <c r="F16" s="30">
        <v>6.5148809523809526</v>
      </c>
      <c r="G16" s="31">
        <v>0.677573017984107</v>
      </c>
      <c r="H16" s="31">
        <v>1.2122611989459815</v>
      </c>
      <c r="I16" s="31">
        <v>1.5655290584702348</v>
      </c>
      <c r="J16" s="31">
        <v>1.217113706251444</v>
      </c>
      <c r="K16" s="31">
        <v>2.5049864736418805</v>
      </c>
      <c r="L16" s="31">
        <v>2.0024422973698335</v>
      </c>
      <c r="M16" s="31">
        <v>4.2122912102269305</v>
      </c>
      <c r="N16" s="31">
        <v>2.502097806681743</v>
      </c>
      <c r="O16" s="31">
        <v>4.213074352548037</v>
      </c>
      <c r="P16" s="31">
        <v>4.441666666666667</v>
      </c>
      <c r="Q16" s="31">
        <v>1.618804947721663</v>
      </c>
      <c r="R16" s="31">
        <v>0.36360280546327056</v>
      </c>
      <c r="S16" s="31">
        <v>4.4880174291939</v>
      </c>
      <c r="T16" s="31">
        <v>3.706140350877193</v>
      </c>
      <c r="U16" s="31">
        <v>106.16666666666667</v>
      </c>
      <c r="V16" s="32">
        <v>4.166666666666667</v>
      </c>
      <c r="W16" s="31">
        <v>1.605268817204301</v>
      </c>
      <c r="X16" s="35">
        <v>34.843434343434346</v>
      </c>
      <c r="Y16" s="30">
        <v>1.9903846153846156</v>
      </c>
      <c r="Z16" s="31">
        <v>1.3</v>
      </c>
      <c r="AA16" s="37">
        <v>0</v>
      </c>
    </row>
    <row r="17" spans="1:27" s="23" customFormat="1" ht="48.95" customHeight="1">
      <c r="A17" s="39" t="s">
        <v>2</v>
      </c>
      <c r="B17" s="40"/>
      <c r="C17" s="13"/>
      <c r="D17" s="13"/>
      <c r="E17" s="15"/>
      <c r="F17" s="246">
        <v>1.5</v>
      </c>
      <c r="G17" s="247">
        <v>4.666666666666667</v>
      </c>
      <c r="H17" s="247">
        <v>1</v>
      </c>
      <c r="I17" s="247">
        <v>1.1666666666666667</v>
      </c>
      <c r="J17" s="247">
        <v>1.3333333333333333</v>
      </c>
      <c r="K17" s="247">
        <v>2.3333333333333335</v>
      </c>
      <c r="L17" s="247">
        <v>1</v>
      </c>
      <c r="M17" s="247">
        <v>26.5</v>
      </c>
      <c r="N17" s="247">
        <v>18.833333333333332</v>
      </c>
      <c r="O17" s="247">
        <v>10.666666666666666</v>
      </c>
      <c r="P17" s="247">
        <v>3</v>
      </c>
      <c r="Q17" s="247">
        <v>4.833333333333333</v>
      </c>
      <c r="R17" s="247">
        <v>0</v>
      </c>
      <c r="S17" s="247">
        <v>0</v>
      </c>
      <c r="T17" s="247">
        <v>0.5</v>
      </c>
      <c r="U17" s="247">
        <v>23.666666666666668</v>
      </c>
      <c r="V17" s="247">
        <v>0.5</v>
      </c>
      <c r="W17" s="247">
        <v>0.8333333333333334</v>
      </c>
      <c r="X17" s="248">
        <v>2</v>
      </c>
      <c r="Y17" s="246">
        <v>0</v>
      </c>
      <c r="Z17" s="247">
        <v>4.833333333333333</v>
      </c>
      <c r="AA17" s="249">
        <v>0.16666666666666666</v>
      </c>
    </row>
    <row r="18" spans="1:27" s="25" customFormat="1" ht="15.75">
      <c r="A18" s="19" t="s">
        <v>70</v>
      </c>
      <c r="B18" s="41">
        <v>1</v>
      </c>
      <c r="C18" s="12">
        <f>_xlfn.PERCENTILE.INC(F17:AA17,0.25)</f>
        <v>0.5833333333333334</v>
      </c>
      <c r="D18" s="67">
        <f>_xlfn.PERCENTILE.INC(F17:AA17,0.5)</f>
        <v>1.4166666666666665</v>
      </c>
      <c r="E18" s="68">
        <f>_xlfn.PERCENTILE.INC(F17:AA17,0.75)</f>
        <v>4.791666666666666</v>
      </c>
      <c r="F18" s="22">
        <f>IF(F17&lt;=$C$18,0,IF(F17&lt;=$D$18,1,IF(F17&lt;=$E$18,2,3)))</f>
        <v>2</v>
      </c>
      <c r="G18" s="22">
        <f aca="true" t="shared" si="77" ref="G18:K18">IF(G17&lt;=$C$18,0,IF(G17&lt;=$D$18,1,IF(G17&lt;=$E$18,2,3)))</f>
        <v>2</v>
      </c>
      <c r="H18" s="22">
        <f t="shared" si="77"/>
        <v>1</v>
      </c>
      <c r="I18" s="22">
        <f t="shared" si="77"/>
        <v>1</v>
      </c>
      <c r="J18" s="22">
        <f t="shared" si="77"/>
        <v>1</v>
      </c>
      <c r="K18" s="22">
        <f t="shared" si="77"/>
        <v>2</v>
      </c>
      <c r="L18" s="22">
        <f aca="true" t="shared" si="78" ref="L18">IF(L17&lt;=$C$18,0,IF(L17&lt;=$D$18,1,IF(L17&lt;=$E$18,2,3)))</f>
        <v>1</v>
      </c>
      <c r="M18" s="22">
        <f aca="true" t="shared" si="79" ref="M18">IF(M17&lt;=$C$18,0,IF(M17&lt;=$D$18,1,IF(M17&lt;=$E$18,2,3)))</f>
        <v>3</v>
      </c>
      <c r="N18" s="22">
        <f aca="true" t="shared" si="80" ref="N18">IF(N17&lt;=$C$18,0,IF(N17&lt;=$D$18,1,IF(N17&lt;=$E$18,2,3)))</f>
        <v>3</v>
      </c>
      <c r="O18" s="22">
        <f aca="true" t="shared" si="81" ref="O18:P18">IF(O17&lt;=$C$18,0,IF(O17&lt;=$D$18,1,IF(O17&lt;=$E$18,2,3)))</f>
        <v>3</v>
      </c>
      <c r="P18" s="22">
        <f t="shared" si="81"/>
        <v>2</v>
      </c>
      <c r="Q18" s="22">
        <f>IF(Q17&lt;=$C$18,0,IF(Q17&lt;=$D$18,1,IF(Q17&lt;=$E$18,2,3)))</f>
        <v>3</v>
      </c>
      <c r="R18" s="22">
        <f aca="true" t="shared" si="82" ref="R18">IF(R17&lt;=$C$18,0,IF(R17&lt;=$D$18,1,IF(R17&lt;=$E$18,2,3)))</f>
        <v>0</v>
      </c>
      <c r="S18" s="22">
        <f aca="true" t="shared" si="83" ref="S18">IF(S17&lt;=$C$18,0,IF(S17&lt;=$D$18,1,IF(S17&lt;=$E$18,2,3)))</f>
        <v>0</v>
      </c>
      <c r="T18" s="22">
        <f aca="true" t="shared" si="84" ref="T18">IF(T17&lt;=$C$18,0,IF(T17&lt;=$D$18,1,IF(T17&lt;=$E$18,2,3)))</f>
        <v>0</v>
      </c>
      <c r="U18" s="22">
        <f>IF(U17&lt;=$C$18,0,IF(U17&lt;=$D$18,1,IF(U17&lt;=$E$18,2,3)))</f>
        <v>3</v>
      </c>
      <c r="V18" s="22">
        <f aca="true" t="shared" si="85" ref="V18">IF(V17&lt;=$C$18,0,IF(V17&lt;=$D$18,1,IF(V17&lt;=$E$18,2,3)))</f>
        <v>0</v>
      </c>
      <c r="W18" s="22">
        <f aca="true" t="shared" si="86" ref="W18">IF(W17&lt;=$C$18,0,IF(W17&lt;=$D$18,1,IF(W17&lt;=$E$18,2,3)))</f>
        <v>1</v>
      </c>
      <c r="X18" s="22">
        <f aca="true" t="shared" si="87" ref="X18">IF(X17&lt;=$C$18,0,IF(X17&lt;=$D$18,1,IF(X17&lt;=$E$18,2,3)))</f>
        <v>2</v>
      </c>
      <c r="Y18" s="22">
        <f>IF(Y17&lt;=$C$18,0,IF(Y17&lt;=$D$18,1,IF(Y17&lt;=$E$18,2,3)))</f>
        <v>0</v>
      </c>
      <c r="Z18" s="22">
        <f aca="true" t="shared" si="88" ref="Z18">IF(Z17&lt;=$C$18,0,IF(Z17&lt;=$D$18,1,IF(Z17&lt;=$E$18,2,3)))</f>
        <v>3</v>
      </c>
      <c r="AA18" s="22">
        <f aca="true" t="shared" si="89" ref="AA18">IF(AA17&lt;=$C$18,0,IF(AA17&lt;=$D$18,1,IF(AA17&lt;=$E$18,2,3)))</f>
        <v>0</v>
      </c>
    </row>
    <row r="19" spans="1:27" s="23" customFormat="1" ht="48.95" customHeight="1">
      <c r="A19" s="39" t="s">
        <v>71</v>
      </c>
      <c r="B19" s="40"/>
      <c r="C19" s="13"/>
      <c r="D19" s="13"/>
      <c r="E19" s="15"/>
      <c r="F19" s="21">
        <v>1</v>
      </c>
      <c r="G19" s="14">
        <v>1</v>
      </c>
      <c r="H19" s="14">
        <v>7</v>
      </c>
      <c r="I19" s="14">
        <v>0</v>
      </c>
      <c r="J19" s="14">
        <v>2</v>
      </c>
      <c r="K19" s="14">
        <v>3</v>
      </c>
      <c r="L19" s="14">
        <v>0</v>
      </c>
      <c r="M19" s="14">
        <v>6</v>
      </c>
      <c r="N19" s="14">
        <v>3</v>
      </c>
      <c r="O19" s="14">
        <v>0</v>
      </c>
      <c r="P19" s="14">
        <v>0</v>
      </c>
      <c r="Q19" s="14">
        <v>1</v>
      </c>
      <c r="R19" s="14">
        <v>0</v>
      </c>
      <c r="S19" s="14">
        <v>4</v>
      </c>
      <c r="T19" s="14">
        <v>0</v>
      </c>
      <c r="U19" s="14">
        <v>1</v>
      </c>
      <c r="V19" s="14">
        <v>0</v>
      </c>
      <c r="W19" s="14">
        <v>1</v>
      </c>
      <c r="X19" s="34">
        <v>5</v>
      </c>
      <c r="Y19" s="21">
        <v>0</v>
      </c>
      <c r="Z19" s="14">
        <v>0</v>
      </c>
      <c r="AA19" s="36">
        <v>0</v>
      </c>
    </row>
    <row r="20" spans="1:27" s="25" customFormat="1" ht="16.5" thickBot="1">
      <c r="A20" s="20" t="s">
        <v>70</v>
      </c>
      <c r="B20" s="43">
        <v>0.5</v>
      </c>
      <c r="C20" s="17">
        <f>PERCENTILE(F19:AA19,0.25)</f>
        <v>0</v>
      </c>
      <c r="D20" s="17">
        <f>PERCENTILE(F19:AA19,0.5)</f>
        <v>1</v>
      </c>
      <c r="E20" s="18">
        <f>PERCENTILE(F19:AA19,0.75)</f>
        <v>2.75</v>
      </c>
      <c r="F20" s="22">
        <f>IF(F19&lt;=$C$20,0,IF(F19&lt;=$D$20,1,IF(F19&lt;=$E$20,2,3)))</f>
        <v>1</v>
      </c>
      <c r="G20" s="22">
        <f aca="true" t="shared" si="90" ref="G20:J20">IF(G19&lt;=$C$20,0,IF(G19&lt;=$D$20,1,IF(G19&lt;=$E$20,2,3)))</f>
        <v>1</v>
      </c>
      <c r="H20" s="22">
        <f t="shared" si="90"/>
        <v>3</v>
      </c>
      <c r="I20" s="22">
        <f t="shared" si="90"/>
        <v>0</v>
      </c>
      <c r="J20" s="22">
        <f t="shared" si="90"/>
        <v>2</v>
      </c>
      <c r="K20" s="22">
        <f aca="true" t="shared" si="91" ref="K20">IF(K19&lt;=$C$20,0,IF(K19&lt;=$D$20,1,IF(K19&lt;=$E$20,2,3)))</f>
        <v>3</v>
      </c>
      <c r="L20" s="22">
        <f aca="true" t="shared" si="92" ref="L20">IF(L19&lt;=$C$20,0,IF(L19&lt;=$D$20,1,IF(L19&lt;=$E$20,2,3)))</f>
        <v>0</v>
      </c>
      <c r="M20" s="22">
        <f aca="true" t="shared" si="93" ref="M20:N20">IF(M19&lt;=$C$20,0,IF(M19&lt;=$D$20,1,IF(M19&lt;=$E$20,2,3)))</f>
        <v>3</v>
      </c>
      <c r="N20" s="22">
        <f t="shared" si="93"/>
        <v>3</v>
      </c>
      <c r="O20" s="22">
        <f>IF(O19&lt;=$C$20,0,IF(O19&lt;=$D$20,1,IF(O19&lt;=$E$20,2,3)))</f>
        <v>0</v>
      </c>
      <c r="P20" s="22">
        <f aca="true" t="shared" si="94" ref="P20">IF(P19&lt;=$C$20,0,IF(P19&lt;=$D$20,1,IF(P19&lt;=$E$20,2,3)))</f>
        <v>0</v>
      </c>
      <c r="Q20" s="22">
        <f aca="true" t="shared" si="95" ref="Q20">IF(Q19&lt;=$C$20,0,IF(Q19&lt;=$D$20,1,IF(Q19&lt;=$E$20,2,3)))</f>
        <v>1</v>
      </c>
      <c r="R20" s="22">
        <f aca="true" t="shared" si="96" ref="R20">IF(R19&lt;=$C$20,0,IF(R19&lt;=$D$20,1,IF(R19&lt;=$E$20,2,3)))</f>
        <v>0</v>
      </c>
      <c r="S20" s="22">
        <f aca="true" t="shared" si="97" ref="S20">IF(S19&lt;=$C$20,0,IF(S19&lt;=$D$20,1,IF(S19&lt;=$E$20,2,3)))</f>
        <v>3</v>
      </c>
      <c r="T20" s="22">
        <f>IF(T19&lt;=$C$20,0,IF(T19&lt;=$D$20,1,IF(T19&lt;=$E$20,2,3)))</f>
        <v>0</v>
      </c>
      <c r="U20" s="22">
        <f aca="true" t="shared" si="98" ref="U20">IF(U19&lt;=$C$20,0,IF(U19&lt;=$D$20,1,IF(U19&lt;=$E$20,2,3)))</f>
        <v>1</v>
      </c>
      <c r="V20" s="22">
        <f aca="true" t="shared" si="99" ref="V20">IF(V19&lt;=$C$20,0,IF(V19&lt;=$D$20,1,IF(V19&lt;=$E$20,2,3)))</f>
        <v>0</v>
      </c>
      <c r="W20" s="22">
        <f aca="true" t="shared" si="100" ref="W20">IF(W19&lt;=$C$20,0,IF(W19&lt;=$D$20,1,IF(W19&lt;=$E$20,2,3)))</f>
        <v>1</v>
      </c>
      <c r="X20" s="22">
        <f aca="true" t="shared" si="101" ref="X20">IF(X19&lt;=$C$20,0,IF(X19&lt;=$D$20,1,IF(X19&lt;=$E$20,2,3)))</f>
        <v>3</v>
      </c>
      <c r="Y20" s="22">
        <f>IF(Y19&lt;=$C$20,0,IF(Y19&lt;=$D$20,1,IF(Y19&lt;=$E$20,2,3)))</f>
        <v>0</v>
      </c>
      <c r="Z20" s="22">
        <f aca="true" t="shared" si="102" ref="Z20">IF(Z19&lt;=$C$20,0,IF(Z19&lt;=$D$20,1,IF(Z19&lt;=$E$20,2,3)))</f>
        <v>0</v>
      </c>
      <c r="AA20" s="22">
        <f aca="true" t="shared" si="103" ref="AA20">IF(AA19&lt;=$C$20,0,IF(AA19&lt;=$D$20,1,IF(AA19&lt;=$E$20,2,3)))</f>
        <v>0</v>
      </c>
    </row>
    <row r="21" spans="1:27" s="25" customFormat="1" ht="48.6" customHeight="1">
      <c r="A21" s="80"/>
      <c r="B21" s="81"/>
      <c r="C21" s="80"/>
      <c r="D21" s="80"/>
      <c r="E21" s="80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</row>
    <row r="22" spans="1:27" ht="40.5" customHeight="1" thickBot="1">
      <c r="A22" s="179" t="s">
        <v>87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</row>
    <row r="23" spans="1:27" ht="32.25" thickBot="1">
      <c r="A23" s="83"/>
      <c r="B23" s="83"/>
      <c r="C23" s="83"/>
      <c r="D23" s="143"/>
      <c r="E23" s="139" t="s">
        <v>83</v>
      </c>
      <c r="F23" s="151" t="s">
        <v>4</v>
      </c>
      <c r="G23" s="45" t="s">
        <v>5</v>
      </c>
      <c r="H23" s="45" t="s">
        <v>21</v>
      </c>
      <c r="I23" s="45" t="s">
        <v>6</v>
      </c>
      <c r="J23" s="45" t="s">
        <v>7</v>
      </c>
      <c r="K23" s="45" t="s">
        <v>8</v>
      </c>
      <c r="L23" s="45" t="s">
        <v>9</v>
      </c>
      <c r="M23" s="45" t="s">
        <v>23</v>
      </c>
      <c r="N23" s="45" t="s">
        <v>10</v>
      </c>
      <c r="O23" s="45" t="s">
        <v>11</v>
      </c>
      <c r="P23" s="45" t="s">
        <v>12</v>
      </c>
      <c r="Q23" s="45" t="s">
        <v>13</v>
      </c>
      <c r="R23" s="45" t="s">
        <v>80</v>
      </c>
      <c r="S23" s="45" t="s">
        <v>22</v>
      </c>
      <c r="T23" s="45" t="s">
        <v>14</v>
      </c>
      <c r="U23" s="45" t="s">
        <v>15</v>
      </c>
      <c r="V23" s="45" t="s">
        <v>79</v>
      </c>
      <c r="W23" s="45" t="s">
        <v>16</v>
      </c>
      <c r="X23" s="46" t="s">
        <v>17</v>
      </c>
      <c r="Y23" s="44" t="s">
        <v>18</v>
      </c>
      <c r="Z23" s="45" t="s">
        <v>19</v>
      </c>
      <c r="AA23" s="47" t="s">
        <v>20</v>
      </c>
    </row>
    <row r="24" spans="1:27" ht="15.6" customHeight="1">
      <c r="A24" s="253" t="s">
        <v>73</v>
      </c>
      <c r="B24" s="254"/>
      <c r="C24" s="254"/>
      <c r="D24" s="254"/>
      <c r="E24" s="152"/>
      <c r="F24" s="144"/>
      <c r="G24" s="95"/>
      <c r="H24" s="95"/>
      <c r="I24" s="96"/>
      <c r="J24" s="95"/>
      <c r="K24" s="96"/>
      <c r="L24" s="97"/>
      <c r="M24" s="96"/>
      <c r="N24" s="96"/>
      <c r="O24" s="96"/>
      <c r="P24" s="97"/>
      <c r="Q24" s="96"/>
      <c r="R24" s="97"/>
      <c r="S24" s="97"/>
      <c r="T24" s="97"/>
      <c r="U24" s="96"/>
      <c r="V24" s="97"/>
      <c r="W24" s="96"/>
      <c r="X24" s="97"/>
      <c r="Y24" s="97"/>
      <c r="Z24" s="96"/>
      <c r="AA24" s="96"/>
    </row>
    <row r="25" spans="1:27" ht="15.75">
      <c r="A25" s="86" t="s">
        <v>60</v>
      </c>
      <c r="B25" s="4"/>
      <c r="C25" s="4"/>
      <c r="D25" s="140"/>
      <c r="E25" s="153">
        <f>SUM(F25:AA25)</f>
        <v>210.5</v>
      </c>
      <c r="F25" s="145">
        <f>SUM(F18*$B18,F15*$B15,F12*$B12,F10*$B10,F5*$B5,F7*$B7,F20*$B20)</f>
        <v>7.5</v>
      </c>
      <c r="G25" s="84">
        <f>SUM(G18*$B18,G15*$B15,G12*$B12,G10*$B10,G5*$B5,G7*$B7,G20*$B20)</f>
        <v>15.5</v>
      </c>
      <c r="H25" s="84">
        <f>SUM(H18*$B18,H15*$B15,H12*$B12,H10*$B10,H5*$B5,H7*$B7,,H20*$B20)</f>
        <v>11.5</v>
      </c>
      <c r="I25" s="84">
        <f aca="true" t="shared" si="104" ref="I25:X25">SUM(I18*$B18,I15*$B15,I12*$B12,I10*$B10,I5*$B5,I7*$B7,I20*$B20)</f>
        <v>12</v>
      </c>
      <c r="J25" s="84">
        <f t="shared" si="104"/>
        <v>12</v>
      </c>
      <c r="K25" s="84">
        <f t="shared" si="104"/>
        <v>13.5</v>
      </c>
      <c r="L25" s="84">
        <f t="shared" si="104"/>
        <v>9</v>
      </c>
      <c r="M25" s="84">
        <f t="shared" si="104"/>
        <v>15.5</v>
      </c>
      <c r="N25" s="84">
        <f t="shared" si="104"/>
        <v>15.5</v>
      </c>
      <c r="O25" s="84">
        <f t="shared" si="104"/>
        <v>11</v>
      </c>
      <c r="P25" s="84">
        <f t="shared" si="104"/>
        <v>11</v>
      </c>
      <c r="Q25" s="84">
        <f t="shared" si="104"/>
        <v>15.5</v>
      </c>
      <c r="R25" s="84">
        <f t="shared" si="104"/>
        <v>4</v>
      </c>
      <c r="S25" s="84">
        <f t="shared" si="104"/>
        <v>1.5</v>
      </c>
      <c r="T25" s="84">
        <f t="shared" si="104"/>
        <v>5</v>
      </c>
      <c r="U25" s="84">
        <f t="shared" si="104"/>
        <v>5.5</v>
      </c>
      <c r="V25" s="84">
        <f t="shared" si="104"/>
        <v>6</v>
      </c>
      <c r="W25" s="84">
        <f t="shared" si="104"/>
        <v>11.5</v>
      </c>
      <c r="X25" s="84">
        <f t="shared" si="104"/>
        <v>16.5</v>
      </c>
      <c r="Y25" s="84">
        <f>SUM(Y18*$B18,Y15*$B15,Y12*$B12,Y10*$B10,Y5*$B5,Y7*$B7)</f>
        <v>5</v>
      </c>
      <c r="Z25" s="84">
        <f>SUM(Z18*$B18,Z15*$B15,Z12*$B12,Z10*$B10,Z5*$B5,Z7*$B7)</f>
        <v>5</v>
      </c>
      <c r="AA25" s="84">
        <f>SUM(AA18*$B18,AA15*$B15,AA12*$B12,AA10*$B10,AA5*$B5,AA7*$B7)</f>
        <v>1</v>
      </c>
    </row>
    <row r="26" spans="1:27" s="24" customFormat="1" ht="15.75">
      <c r="A26" s="87" t="s">
        <v>61</v>
      </c>
      <c r="B26" s="88"/>
      <c r="C26" s="88"/>
      <c r="D26" s="141"/>
      <c r="E26" s="154">
        <f aca="true" t="shared" si="105" ref="E26:E37">SUM(F26:AA26)</f>
        <v>51486589.16599679</v>
      </c>
      <c r="F26" s="146">
        <f aca="true" t="shared" si="106" ref="F26:AA26">$B65/SUM($F25:$AA25)*F25</f>
        <v>1834439.0439191256</v>
      </c>
      <c r="G26" s="98">
        <f t="shared" si="106"/>
        <v>3791174.0240995265</v>
      </c>
      <c r="H26" s="98">
        <f t="shared" si="106"/>
        <v>2812806.534009326</v>
      </c>
      <c r="I26" s="98">
        <f t="shared" si="106"/>
        <v>2935102.470270601</v>
      </c>
      <c r="J26" s="98">
        <f t="shared" si="106"/>
        <v>2935102.470270601</v>
      </c>
      <c r="K26" s="98">
        <f t="shared" si="106"/>
        <v>3301990.279054426</v>
      </c>
      <c r="L26" s="98">
        <f t="shared" si="106"/>
        <v>2201326.8527029506</v>
      </c>
      <c r="M26" s="98">
        <f t="shared" si="106"/>
        <v>3791174.0240995265</v>
      </c>
      <c r="N26" s="98">
        <f t="shared" si="106"/>
        <v>3791174.0240995265</v>
      </c>
      <c r="O26" s="98">
        <f t="shared" si="106"/>
        <v>2690510.597748051</v>
      </c>
      <c r="P26" s="98">
        <f t="shared" si="106"/>
        <v>2690510.597748051</v>
      </c>
      <c r="Q26" s="98">
        <f t="shared" si="106"/>
        <v>3791174.0240995265</v>
      </c>
      <c r="R26" s="98">
        <f t="shared" si="106"/>
        <v>978367.4900902003</v>
      </c>
      <c r="S26" s="98">
        <f t="shared" si="106"/>
        <v>366887.80878382514</v>
      </c>
      <c r="T26" s="98">
        <f t="shared" si="106"/>
        <v>1222959.3626127504</v>
      </c>
      <c r="U26" s="98">
        <f t="shared" si="106"/>
        <v>1345255.2988740255</v>
      </c>
      <c r="V26" s="98">
        <f t="shared" si="106"/>
        <v>1467551.2351353006</v>
      </c>
      <c r="W26" s="98">
        <f t="shared" si="106"/>
        <v>2812806.534009326</v>
      </c>
      <c r="X26" s="98">
        <f t="shared" si="106"/>
        <v>4035765.896622076</v>
      </c>
      <c r="Y26" s="98">
        <f t="shared" si="106"/>
        <v>1222959.3626127504</v>
      </c>
      <c r="Z26" s="98">
        <f t="shared" si="106"/>
        <v>1222959.3626127504</v>
      </c>
      <c r="AA26" s="98">
        <f t="shared" si="106"/>
        <v>244591.87252255008</v>
      </c>
    </row>
    <row r="27" spans="1:27" s="24" customFormat="1" ht="9" customHeight="1">
      <c r="A27" s="89"/>
      <c r="B27" s="90"/>
      <c r="C27" s="90"/>
      <c r="D27" s="90"/>
      <c r="E27" s="155"/>
      <c r="F27" s="147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1"/>
      <c r="Z27" s="91"/>
      <c r="AA27" s="91"/>
    </row>
    <row r="28" spans="1:27" ht="15.75">
      <c r="A28" s="253" t="s">
        <v>30</v>
      </c>
      <c r="B28" s="254"/>
      <c r="C28" s="254"/>
      <c r="D28" s="254"/>
      <c r="E28" s="152"/>
      <c r="F28" s="144"/>
      <c r="G28" s="95"/>
      <c r="H28" s="95"/>
      <c r="I28" s="96"/>
      <c r="J28" s="95"/>
      <c r="K28" s="96"/>
      <c r="L28" s="97"/>
      <c r="M28" s="96"/>
      <c r="N28" s="96"/>
      <c r="O28" s="96"/>
      <c r="P28" s="97"/>
      <c r="Q28" s="96"/>
      <c r="R28" s="97"/>
      <c r="S28" s="97"/>
      <c r="T28" s="97"/>
      <c r="U28" s="96"/>
      <c r="V28" s="97"/>
      <c r="W28" s="96"/>
      <c r="X28" s="97"/>
      <c r="Y28" s="97"/>
      <c r="Z28" s="96"/>
      <c r="AA28" s="96"/>
    </row>
    <row r="29" spans="1:27" s="138" customFormat="1" ht="15.95" customHeight="1" hidden="1">
      <c r="A29" s="134" t="s">
        <v>48</v>
      </c>
      <c r="B29" s="135"/>
      <c r="C29" s="135"/>
      <c r="D29" s="142"/>
      <c r="E29" s="156"/>
      <c r="F29" s="148">
        <v>4</v>
      </c>
      <c r="G29" s="136">
        <v>4</v>
      </c>
      <c r="H29" s="136">
        <v>1</v>
      </c>
      <c r="I29" s="136">
        <v>2</v>
      </c>
      <c r="J29" s="136">
        <v>1</v>
      </c>
      <c r="K29" s="136">
        <v>3</v>
      </c>
      <c r="L29" s="136">
        <v>1</v>
      </c>
      <c r="M29" s="136">
        <v>4</v>
      </c>
      <c r="N29" s="136">
        <v>4</v>
      </c>
      <c r="O29" s="136">
        <v>4</v>
      </c>
      <c r="P29" s="136">
        <v>4</v>
      </c>
      <c r="Q29" s="136">
        <v>4</v>
      </c>
      <c r="R29" s="136">
        <v>1</v>
      </c>
      <c r="S29" s="136">
        <v>3</v>
      </c>
      <c r="T29" s="136">
        <v>4</v>
      </c>
      <c r="U29" s="136">
        <v>2</v>
      </c>
      <c r="V29" s="136">
        <v>3</v>
      </c>
      <c r="W29" s="136">
        <v>4</v>
      </c>
      <c r="X29" s="136">
        <v>3</v>
      </c>
      <c r="Y29" s="137">
        <v>1</v>
      </c>
      <c r="Z29" s="137">
        <v>1</v>
      </c>
      <c r="AA29" s="137">
        <v>1</v>
      </c>
    </row>
    <row r="30" spans="1:27" ht="15.75">
      <c r="A30" s="86" t="s">
        <v>58</v>
      </c>
      <c r="B30" s="4"/>
      <c r="C30" s="4"/>
      <c r="D30" s="140"/>
      <c r="E30" s="157">
        <f t="shared" si="105"/>
        <v>52713</v>
      </c>
      <c r="F30" s="149">
        <f>'KomponentaB-bibliometrie'!B31</f>
        <v>1158</v>
      </c>
      <c r="G30" s="131">
        <f>'KomponentaB-bibliometrie'!B32</f>
        <v>4445</v>
      </c>
      <c r="H30" s="131">
        <f>'KomponentaB-bibliometrie'!B33</f>
        <v>4885</v>
      </c>
      <c r="I30" s="131">
        <f>'KomponentaB-bibliometrie'!B34</f>
        <v>2033</v>
      </c>
      <c r="J30" s="131">
        <f>'KomponentaB-bibliometrie'!B35</f>
        <v>1321</v>
      </c>
      <c r="K30" s="131">
        <f>'KomponentaB-bibliometrie'!B36</f>
        <v>1991</v>
      </c>
      <c r="L30" s="131">
        <f>'KomponentaB-bibliometrie'!B37</f>
        <v>2668</v>
      </c>
      <c r="M30" s="131">
        <f>'KomponentaB-bibliometrie'!B38</f>
        <v>5943</v>
      </c>
      <c r="N30" s="131">
        <f>'KomponentaB-bibliometrie'!B39</f>
        <v>6213</v>
      </c>
      <c r="O30" s="131">
        <f>'KomponentaB-bibliometrie'!B40</f>
        <v>3517</v>
      </c>
      <c r="P30" s="131">
        <f>'KomponentaB-bibliometrie'!B41</f>
        <v>1738</v>
      </c>
      <c r="Q30" s="131">
        <f>'KomponentaB-bibliometrie'!B42</f>
        <v>2733</v>
      </c>
      <c r="R30" s="131">
        <f>'KomponentaB-bibliometrie'!B43</f>
        <v>541</v>
      </c>
      <c r="S30" s="131">
        <f>'KomponentaB-bibliometrie'!B44</f>
        <v>831</v>
      </c>
      <c r="T30" s="131">
        <f>'KomponentaB-bibliometrie'!B45</f>
        <v>885</v>
      </c>
      <c r="U30" s="131">
        <f>'KomponentaB-bibliometrie'!B46</f>
        <v>1505</v>
      </c>
      <c r="V30" s="131">
        <f>'KomponentaB-bibliometrie'!B47</f>
        <v>867</v>
      </c>
      <c r="W30" s="131">
        <f>'KomponentaB-bibliometrie'!B48</f>
        <v>897</v>
      </c>
      <c r="X30" s="131">
        <f>'KomponentaB-bibliometrie'!B49</f>
        <v>7967</v>
      </c>
      <c r="Y30" s="131">
        <f>'KomponentaB-bibliometrie'!B50</f>
        <v>233</v>
      </c>
      <c r="Z30" s="131">
        <f>'KomponentaB-bibliometrie'!B51</f>
        <v>267</v>
      </c>
      <c r="AA30" s="131">
        <f>'KomponentaB-bibliometrie'!B52</f>
        <v>75</v>
      </c>
    </row>
    <row r="31" spans="1:27" s="24" customFormat="1" ht="15.75">
      <c r="A31" s="87" t="s">
        <v>62</v>
      </c>
      <c r="B31" s="88"/>
      <c r="C31" s="88"/>
      <c r="D31" s="141"/>
      <c r="E31" s="154">
        <f t="shared" si="105"/>
        <v>154459767.4979904</v>
      </c>
      <c r="F31" s="146">
        <f>'KomponentaB-bibliometrie'!C31</f>
        <v>3393174.563441141</v>
      </c>
      <c r="G31" s="98">
        <f>'KomponentaB-bibliometrie'!C32</f>
        <v>13024750.375212325</v>
      </c>
      <c r="H31" s="98">
        <f>'KomponentaB-bibliometrie'!C33</f>
        <v>14314039.501217594</v>
      </c>
      <c r="I31" s="98">
        <f>'KomponentaB-bibliometrie'!C34</f>
        <v>5957101.802656165</v>
      </c>
      <c r="J31" s="98">
        <f>'KomponentaB-bibliometrie'!C35</f>
        <v>3870797.580574911</v>
      </c>
      <c r="K31" s="98">
        <f>'KomponentaB-bibliometrie'!C36</f>
        <v>5834033.295173844</v>
      </c>
      <c r="L31" s="98">
        <f>'KomponentaB-bibliometrie'!C37</f>
        <v>7817780.427686498</v>
      </c>
      <c r="M31" s="98">
        <f>'KomponentaB-bibliometrie'!C38</f>
        <v>17414193.808748446</v>
      </c>
      <c r="N31" s="98">
        <f>'KomponentaB-bibliometrie'!C39</f>
        <v>18205348.499706224</v>
      </c>
      <c r="O31" s="98">
        <f>'KomponentaB-bibliometrie'!C40</f>
        <v>10305522.400364846</v>
      </c>
      <c r="P31" s="98">
        <f>'KomponentaB-bibliometrie'!C41</f>
        <v>5092692.047720814</v>
      </c>
      <c r="Q31" s="98">
        <f>'KomponentaB-bibliometrie'!C42</f>
        <v>8008243.594028185</v>
      </c>
      <c r="R31" s="98">
        <f>'KomponentaB-bibliometrie'!C43</f>
        <v>1585239.584474661</v>
      </c>
      <c r="S31" s="98">
        <f>'KomponentaB-bibliometrie'!C44</f>
        <v>2434998.3266144977</v>
      </c>
      <c r="T31" s="98">
        <f>'KomponentaB-bibliometrie'!C45</f>
        <v>2593229.264806053</v>
      </c>
      <c r="U31" s="98">
        <f>'KomponentaB-bibliometrie'!C46</f>
        <v>4409954.851449842</v>
      </c>
      <c r="V31" s="98">
        <f>'KomponentaB-bibliometrie'!C47</f>
        <v>2540485.6187422015</v>
      </c>
      <c r="W31" s="98">
        <f>'KomponentaB-bibliometrie'!C48</f>
        <v>2628391.695515288</v>
      </c>
      <c r="X31" s="98">
        <f>'KomponentaB-bibliometrie'!C49</f>
        <v>23344923.788372684</v>
      </c>
      <c r="Y31" s="98">
        <f>'KomponentaB-bibliometrie'!C50</f>
        <v>682737.1962709723</v>
      </c>
      <c r="Z31" s="98">
        <f>'KomponentaB-bibliometrie'!C51</f>
        <v>782364.0832804703</v>
      </c>
      <c r="AA31" s="98">
        <f>'KomponentaB-bibliometrie'!C52</f>
        <v>219765.19193271638</v>
      </c>
    </row>
    <row r="32" spans="1:27" ht="15.75">
      <c r="A32" s="83"/>
      <c r="B32" s="83"/>
      <c r="C32" s="83"/>
      <c r="D32" s="143"/>
      <c r="E32" s="158"/>
      <c r="F32" s="150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3"/>
      <c r="Z32" s="93"/>
      <c r="AA32" s="93"/>
    </row>
    <row r="33" spans="1:27" ht="15.75">
      <c r="A33" s="253" t="s">
        <v>59</v>
      </c>
      <c r="B33" s="254"/>
      <c r="C33" s="254"/>
      <c r="D33" s="254"/>
      <c r="E33" s="152"/>
      <c r="F33" s="144"/>
      <c r="G33" s="95"/>
      <c r="H33" s="95"/>
      <c r="I33" s="96"/>
      <c r="J33" s="95"/>
      <c r="K33" s="96"/>
      <c r="L33" s="97"/>
      <c r="M33" s="96"/>
      <c r="N33" s="96"/>
      <c r="O33" s="96"/>
      <c r="P33" s="97"/>
      <c r="Q33" s="96"/>
      <c r="R33" s="97"/>
      <c r="S33" s="97"/>
      <c r="T33" s="97"/>
      <c r="U33" s="96"/>
      <c r="V33" s="97"/>
      <c r="W33" s="96"/>
      <c r="X33" s="97"/>
      <c r="Y33" s="97"/>
      <c r="Z33" s="96"/>
      <c r="AA33" s="96"/>
    </row>
    <row r="34" spans="1:27" ht="15.75">
      <c r="A34" s="86" t="s">
        <v>93</v>
      </c>
      <c r="B34" s="4"/>
      <c r="C34" s="4"/>
      <c r="D34" s="140"/>
      <c r="E34" s="157">
        <f t="shared" si="105"/>
        <v>686487000</v>
      </c>
      <c r="F34" s="149">
        <v>18034000</v>
      </c>
      <c r="G34" s="131">
        <v>50265000</v>
      </c>
      <c r="H34" s="131">
        <v>48089000</v>
      </c>
      <c r="I34" s="131">
        <v>17697000</v>
      </c>
      <c r="J34" s="133">
        <v>15858000</v>
      </c>
      <c r="K34" s="131">
        <v>24122000</v>
      </c>
      <c r="L34" s="131">
        <v>21067000</v>
      </c>
      <c r="M34" s="131">
        <v>38392000</v>
      </c>
      <c r="N34" s="131">
        <v>76150000</v>
      </c>
      <c r="O34" s="131">
        <v>76904000</v>
      </c>
      <c r="P34" s="133">
        <v>32782000</v>
      </c>
      <c r="Q34" s="133">
        <v>53300000</v>
      </c>
      <c r="R34" s="131">
        <v>5881000</v>
      </c>
      <c r="S34" s="131">
        <v>20507000</v>
      </c>
      <c r="T34" s="131">
        <v>25034000</v>
      </c>
      <c r="U34" s="131">
        <v>20876000</v>
      </c>
      <c r="V34" s="131">
        <v>15690000</v>
      </c>
      <c r="W34" s="131">
        <v>33070000</v>
      </c>
      <c r="X34" s="131">
        <v>92769000</v>
      </c>
      <c r="Y34" s="131">
        <v>0</v>
      </c>
      <c r="Z34" s="131">
        <v>0</v>
      </c>
      <c r="AA34" s="131">
        <v>0</v>
      </c>
    </row>
    <row r="35" spans="1:27" s="24" customFormat="1" ht="15.75">
      <c r="A35" s="87" t="s">
        <v>63</v>
      </c>
      <c r="B35" s="88"/>
      <c r="C35" s="88"/>
      <c r="D35" s="141"/>
      <c r="E35" s="154">
        <f t="shared" si="105"/>
        <v>480540900</v>
      </c>
      <c r="F35" s="146">
        <f aca="true" t="shared" si="107" ref="F35:AA35">F34*(1-($B62/100))</f>
        <v>12623800</v>
      </c>
      <c r="G35" s="98">
        <f t="shared" si="107"/>
        <v>35185500</v>
      </c>
      <c r="H35" s="98">
        <f t="shared" si="107"/>
        <v>33662300</v>
      </c>
      <c r="I35" s="98">
        <f t="shared" si="107"/>
        <v>12387900</v>
      </c>
      <c r="J35" s="98">
        <f t="shared" si="107"/>
        <v>11100600</v>
      </c>
      <c r="K35" s="98">
        <f t="shared" si="107"/>
        <v>16885400</v>
      </c>
      <c r="L35" s="98">
        <f t="shared" si="107"/>
        <v>14746899.999999998</v>
      </c>
      <c r="M35" s="98">
        <f t="shared" si="107"/>
        <v>26874400</v>
      </c>
      <c r="N35" s="98">
        <f t="shared" si="107"/>
        <v>53305000</v>
      </c>
      <c r="O35" s="98">
        <f t="shared" si="107"/>
        <v>53832800</v>
      </c>
      <c r="P35" s="98">
        <f t="shared" si="107"/>
        <v>22947400</v>
      </c>
      <c r="Q35" s="98">
        <f t="shared" si="107"/>
        <v>37310000</v>
      </c>
      <c r="R35" s="98">
        <f t="shared" si="107"/>
        <v>4116699.9999999995</v>
      </c>
      <c r="S35" s="98">
        <f t="shared" si="107"/>
        <v>14354900</v>
      </c>
      <c r="T35" s="98">
        <f t="shared" si="107"/>
        <v>17523800</v>
      </c>
      <c r="U35" s="98">
        <f t="shared" si="107"/>
        <v>14613200</v>
      </c>
      <c r="V35" s="98">
        <f t="shared" si="107"/>
        <v>10983000</v>
      </c>
      <c r="W35" s="98">
        <f t="shared" si="107"/>
        <v>23149000</v>
      </c>
      <c r="X35" s="98">
        <f t="shared" si="107"/>
        <v>64938299.99999999</v>
      </c>
      <c r="Y35" s="98">
        <f t="shared" si="107"/>
        <v>0</v>
      </c>
      <c r="Z35" s="98">
        <f t="shared" si="107"/>
        <v>0</v>
      </c>
      <c r="AA35" s="98">
        <f t="shared" si="107"/>
        <v>0</v>
      </c>
    </row>
    <row r="36" spans="1:27" ht="15.75">
      <c r="A36" s="83"/>
      <c r="B36" s="83"/>
      <c r="C36" s="83"/>
      <c r="D36" s="143"/>
      <c r="E36" s="158"/>
      <c r="F36" s="150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3"/>
      <c r="Z36" s="93"/>
      <c r="AA36" s="93"/>
    </row>
    <row r="37" spans="1:27" ht="21.95" customHeight="1" thickBot="1">
      <c r="A37" s="99" t="s">
        <v>66</v>
      </c>
      <c r="B37" s="100"/>
      <c r="C37" s="100"/>
      <c r="D37" s="159"/>
      <c r="E37" s="161">
        <f t="shared" si="105"/>
        <v>1</v>
      </c>
      <c r="F37" s="160">
        <f aca="true" t="shared" si="108" ref="F37:AA37">(F31+F26)/$B63</f>
        <v>0.025383375030466823</v>
      </c>
      <c r="G37" s="101">
        <f t="shared" si="108"/>
        <v>0.08165196350983747</v>
      </c>
      <c r="H37" s="101">
        <f t="shared" si="108"/>
        <v>0.08316168497785233</v>
      </c>
      <c r="I37" s="101">
        <f t="shared" si="108"/>
        <v>0.0431772837207064</v>
      </c>
      <c r="J37" s="101">
        <f t="shared" si="108"/>
        <v>0.03304695533871334</v>
      </c>
      <c r="K37" s="101">
        <f t="shared" si="108"/>
        <v>0.04436118085416872</v>
      </c>
      <c r="L37" s="101">
        <f t="shared" si="108"/>
        <v>0.04864911155838593</v>
      </c>
      <c r="M37" s="101">
        <f t="shared" si="108"/>
        <v>0.10296549148206442</v>
      </c>
      <c r="N37" s="101">
        <f t="shared" si="108"/>
        <v>0.10680704859321347</v>
      </c>
      <c r="O37" s="101">
        <f t="shared" si="108"/>
        <v>0.06310397138666862</v>
      </c>
      <c r="P37" s="101">
        <f t="shared" si="108"/>
        <v>0.03779237842098653</v>
      </c>
      <c r="Q37" s="101">
        <f t="shared" si="108"/>
        <v>0.05729364582729236</v>
      </c>
      <c r="R37" s="101">
        <f t="shared" si="108"/>
        <v>0.012447936035826687</v>
      </c>
      <c r="S37" s="101">
        <f t="shared" si="108"/>
        <v>0.013604931792844263</v>
      </c>
      <c r="T37" s="101">
        <f t="shared" si="108"/>
        <v>0.018530012811273595</v>
      </c>
      <c r="U37" s="101">
        <f t="shared" si="108"/>
        <v>0.027945190405644367</v>
      </c>
      <c r="V37" s="101">
        <f t="shared" si="108"/>
        <v>0.01946155745992067</v>
      </c>
      <c r="W37" s="101">
        <f t="shared" si="108"/>
        <v>0.026420463647250772</v>
      </c>
      <c r="X37" s="101">
        <f t="shared" si="108"/>
        <v>0.13295059028243877</v>
      </c>
      <c r="Y37" s="101">
        <f t="shared" si="108"/>
        <v>0.009253363787313663</v>
      </c>
      <c r="Z37" s="101">
        <f t="shared" si="108"/>
        <v>0.009737115423532432</v>
      </c>
      <c r="AA37" s="101">
        <f t="shared" si="108"/>
        <v>0.0022547476535984107</v>
      </c>
    </row>
    <row r="38" spans="6:27" ht="14.1" customHeight="1"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02"/>
      <c r="Z38" s="102"/>
      <c r="AA38" s="102"/>
    </row>
    <row r="39" spans="6:27" ht="14.1" customHeight="1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02"/>
      <c r="Z39" s="102"/>
      <c r="AA39" s="102"/>
    </row>
    <row r="40" spans="1:27" ht="40.5" customHeight="1">
      <c r="A40" s="179" t="s">
        <v>81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</row>
    <row r="41" spans="1:27" ht="32.45" customHeight="1" thickBot="1">
      <c r="A41" s="171"/>
      <c r="B41" s="171"/>
      <c r="C41" s="171"/>
      <c r="D41" s="172"/>
      <c r="E41" s="173" t="s">
        <v>83</v>
      </c>
      <c r="F41" s="174" t="s">
        <v>4</v>
      </c>
      <c r="G41" s="175" t="s">
        <v>5</v>
      </c>
      <c r="H41" s="175" t="s">
        <v>21</v>
      </c>
      <c r="I41" s="175" t="s">
        <v>6</v>
      </c>
      <c r="J41" s="175" t="s">
        <v>7</v>
      </c>
      <c r="K41" s="175" t="s">
        <v>8</v>
      </c>
      <c r="L41" s="175" t="s">
        <v>9</v>
      </c>
      <c r="M41" s="175" t="s">
        <v>23</v>
      </c>
      <c r="N41" s="175" t="s">
        <v>10</v>
      </c>
      <c r="O41" s="175" t="s">
        <v>11</v>
      </c>
      <c r="P41" s="175" t="s">
        <v>12</v>
      </c>
      <c r="Q41" s="175" t="s">
        <v>13</v>
      </c>
      <c r="R41" s="175" t="s">
        <v>80</v>
      </c>
      <c r="S41" s="175" t="s">
        <v>22</v>
      </c>
      <c r="T41" s="175" t="s">
        <v>14</v>
      </c>
      <c r="U41" s="175" t="s">
        <v>15</v>
      </c>
      <c r="V41" s="175" t="s">
        <v>79</v>
      </c>
      <c r="W41" s="175" t="s">
        <v>16</v>
      </c>
      <c r="X41" s="176" t="s">
        <v>17</v>
      </c>
      <c r="Y41" s="177" t="s">
        <v>18</v>
      </c>
      <c r="Z41" s="175" t="s">
        <v>19</v>
      </c>
      <c r="AA41" s="178" t="s">
        <v>20</v>
      </c>
    </row>
    <row r="42" spans="1:27" ht="14.1" customHeight="1">
      <c r="A42" s="253" t="s">
        <v>73</v>
      </c>
      <c r="B42" s="254"/>
      <c r="C42" s="254"/>
      <c r="D42" s="254"/>
      <c r="E42" s="152"/>
      <c r="F42" s="144"/>
      <c r="G42" s="95"/>
      <c r="H42" s="95"/>
      <c r="I42" s="96"/>
      <c r="J42" s="95"/>
      <c r="K42" s="96"/>
      <c r="L42" s="97"/>
      <c r="M42" s="96"/>
      <c r="N42" s="96"/>
      <c r="O42" s="96"/>
      <c r="P42" s="97"/>
      <c r="Q42" s="96"/>
      <c r="R42" s="97"/>
      <c r="S42" s="97"/>
      <c r="T42" s="97"/>
      <c r="U42" s="96"/>
      <c r="V42" s="97"/>
      <c r="W42" s="96"/>
      <c r="X42" s="97"/>
      <c r="Y42" s="97"/>
      <c r="Z42" s="96"/>
      <c r="AA42" s="96"/>
    </row>
    <row r="43" spans="1:27" ht="14.1" customHeight="1">
      <c r="A43" s="86" t="s">
        <v>60</v>
      </c>
      <c r="B43" s="4"/>
      <c r="C43" s="4"/>
      <c r="D43" s="140"/>
      <c r="E43" s="153">
        <f>SUM(F43:AA43)</f>
        <v>199.5</v>
      </c>
      <c r="F43" s="145">
        <f>IF(F37&gt;=0.01,F25,0)</f>
        <v>7.5</v>
      </c>
      <c r="G43" s="84">
        <f aca="true" t="shared" si="109" ref="G43:AA43">IF(G37&gt;=0.01,G25,0)</f>
        <v>15.5</v>
      </c>
      <c r="H43" s="84">
        <f t="shared" si="109"/>
        <v>11.5</v>
      </c>
      <c r="I43" s="84">
        <f t="shared" si="109"/>
        <v>12</v>
      </c>
      <c r="J43" s="84">
        <f t="shared" si="109"/>
        <v>12</v>
      </c>
      <c r="K43" s="84">
        <f t="shared" si="109"/>
        <v>13.5</v>
      </c>
      <c r="L43" s="84">
        <f t="shared" si="109"/>
        <v>9</v>
      </c>
      <c r="M43" s="84">
        <f t="shared" si="109"/>
        <v>15.5</v>
      </c>
      <c r="N43" s="84">
        <f t="shared" si="109"/>
        <v>15.5</v>
      </c>
      <c r="O43" s="84">
        <f t="shared" si="109"/>
        <v>11</v>
      </c>
      <c r="P43" s="84">
        <f t="shared" si="109"/>
        <v>11</v>
      </c>
      <c r="Q43" s="84">
        <f t="shared" si="109"/>
        <v>15.5</v>
      </c>
      <c r="R43" s="84">
        <f t="shared" si="109"/>
        <v>4</v>
      </c>
      <c r="S43" s="84">
        <f t="shared" si="109"/>
        <v>1.5</v>
      </c>
      <c r="T43" s="84">
        <f t="shared" si="109"/>
        <v>5</v>
      </c>
      <c r="U43" s="84">
        <f t="shared" si="109"/>
        <v>5.5</v>
      </c>
      <c r="V43" s="84">
        <f t="shared" si="109"/>
        <v>6</v>
      </c>
      <c r="W43" s="84">
        <f t="shared" si="109"/>
        <v>11.5</v>
      </c>
      <c r="X43" s="84">
        <f t="shared" si="109"/>
        <v>16.5</v>
      </c>
      <c r="Y43" s="84">
        <f t="shared" si="109"/>
        <v>0</v>
      </c>
      <c r="Z43" s="84">
        <f t="shared" si="109"/>
        <v>0</v>
      </c>
      <c r="AA43" s="84">
        <f t="shared" si="109"/>
        <v>0</v>
      </c>
    </row>
    <row r="44" spans="1:27" ht="14.1" customHeight="1">
      <c r="A44" s="87" t="s">
        <v>61</v>
      </c>
      <c r="B44" s="88"/>
      <c r="C44" s="88"/>
      <c r="D44" s="141"/>
      <c r="E44" s="154">
        <f aca="true" t="shared" si="110" ref="E44:E53">SUM(F44:AA44)</f>
        <v>51486589.16599679</v>
      </c>
      <c r="F44" s="146">
        <f aca="true" t="shared" si="111" ref="F44:AA44">$B65/SUM($F43:$AA43)*F43</f>
        <v>1935586.0588720597</v>
      </c>
      <c r="G44" s="98">
        <f t="shared" si="111"/>
        <v>4000211.18833559</v>
      </c>
      <c r="H44" s="98">
        <f t="shared" si="111"/>
        <v>2967898.623603825</v>
      </c>
      <c r="I44" s="98">
        <f t="shared" si="111"/>
        <v>3096937.6941952957</v>
      </c>
      <c r="J44" s="98">
        <f t="shared" si="111"/>
        <v>3096937.6941952957</v>
      </c>
      <c r="K44" s="98">
        <f t="shared" si="111"/>
        <v>3484054.9059697073</v>
      </c>
      <c r="L44" s="98">
        <f t="shared" si="111"/>
        <v>2322703.2706464715</v>
      </c>
      <c r="M44" s="98">
        <f t="shared" si="111"/>
        <v>4000211.18833559</v>
      </c>
      <c r="N44" s="98">
        <f t="shared" si="111"/>
        <v>4000211.18833559</v>
      </c>
      <c r="O44" s="98">
        <f t="shared" si="111"/>
        <v>2838859.5530123543</v>
      </c>
      <c r="P44" s="98">
        <f t="shared" si="111"/>
        <v>2838859.5530123543</v>
      </c>
      <c r="Q44" s="98">
        <f t="shared" si="111"/>
        <v>4000211.18833559</v>
      </c>
      <c r="R44" s="98">
        <f t="shared" si="111"/>
        <v>1032312.5647317652</v>
      </c>
      <c r="S44" s="98">
        <f t="shared" si="111"/>
        <v>387117.21177441196</v>
      </c>
      <c r="T44" s="98">
        <f t="shared" si="111"/>
        <v>1290390.7059147065</v>
      </c>
      <c r="U44" s="98">
        <f t="shared" si="111"/>
        <v>1419429.7765061771</v>
      </c>
      <c r="V44" s="98">
        <f t="shared" si="111"/>
        <v>1548468.8470976478</v>
      </c>
      <c r="W44" s="98">
        <f t="shared" si="111"/>
        <v>2967898.623603825</v>
      </c>
      <c r="X44" s="98">
        <f t="shared" si="111"/>
        <v>4258289.329518531</v>
      </c>
      <c r="Y44" s="98">
        <f t="shared" si="111"/>
        <v>0</v>
      </c>
      <c r="Z44" s="98">
        <f t="shared" si="111"/>
        <v>0</v>
      </c>
      <c r="AA44" s="98">
        <f t="shared" si="111"/>
        <v>0</v>
      </c>
    </row>
    <row r="45" spans="1:27" ht="14.1" customHeight="1">
      <c r="A45" s="89"/>
      <c r="B45" s="90"/>
      <c r="C45" s="90"/>
      <c r="D45" s="90"/>
      <c r="E45" s="155"/>
      <c r="F45" s="147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1"/>
      <c r="Z45" s="91"/>
      <c r="AA45" s="91"/>
    </row>
    <row r="46" spans="1:27" ht="14.1" customHeight="1">
      <c r="A46" s="253" t="s">
        <v>30</v>
      </c>
      <c r="B46" s="254"/>
      <c r="C46" s="254"/>
      <c r="D46" s="254"/>
      <c r="E46" s="152"/>
      <c r="F46" s="144"/>
      <c r="G46" s="95"/>
      <c r="H46" s="95"/>
      <c r="I46" s="96"/>
      <c r="J46" s="95"/>
      <c r="K46" s="96"/>
      <c r="L46" s="97"/>
      <c r="M46" s="96"/>
      <c r="N46" s="96"/>
      <c r="O46" s="96"/>
      <c r="P46" s="97"/>
      <c r="Q46" s="96"/>
      <c r="R46" s="97"/>
      <c r="S46" s="97"/>
      <c r="T46" s="97"/>
      <c r="U46" s="96"/>
      <c r="V46" s="97"/>
      <c r="W46" s="96"/>
      <c r="X46" s="97"/>
      <c r="Y46" s="97"/>
      <c r="Z46" s="96"/>
      <c r="AA46" s="96"/>
    </row>
    <row r="47" spans="1:27" s="138" customFormat="1" ht="15.95" customHeight="1" hidden="1">
      <c r="A47" s="134" t="s">
        <v>48</v>
      </c>
      <c r="B47" s="135"/>
      <c r="C47" s="135"/>
      <c r="D47" s="142"/>
      <c r="E47" s="156"/>
      <c r="F47" s="148">
        <v>4</v>
      </c>
      <c r="G47" s="136">
        <v>4</v>
      </c>
      <c r="H47" s="136">
        <v>1</v>
      </c>
      <c r="I47" s="136">
        <v>2</v>
      </c>
      <c r="J47" s="136">
        <v>1</v>
      </c>
      <c r="K47" s="136">
        <v>3</v>
      </c>
      <c r="L47" s="136">
        <v>1</v>
      </c>
      <c r="M47" s="136">
        <v>4</v>
      </c>
      <c r="N47" s="136">
        <v>4</v>
      </c>
      <c r="O47" s="136">
        <v>4</v>
      </c>
      <c r="P47" s="136">
        <v>4</v>
      </c>
      <c r="Q47" s="136">
        <v>4</v>
      </c>
      <c r="R47" s="136">
        <v>1</v>
      </c>
      <c r="S47" s="136">
        <v>3</v>
      </c>
      <c r="T47" s="136">
        <v>4</v>
      </c>
      <c r="U47" s="136">
        <v>2</v>
      </c>
      <c r="V47" s="136">
        <v>3</v>
      </c>
      <c r="W47" s="136">
        <v>4</v>
      </c>
      <c r="X47" s="136">
        <v>3</v>
      </c>
      <c r="Y47" s="137">
        <v>1</v>
      </c>
      <c r="Z47" s="137">
        <v>1</v>
      </c>
      <c r="AA47" s="137">
        <v>1</v>
      </c>
    </row>
    <row r="48" spans="1:27" ht="14.1" customHeight="1">
      <c r="A48" s="86" t="s">
        <v>58</v>
      </c>
      <c r="B48" s="4"/>
      <c r="C48" s="4"/>
      <c r="D48" s="140"/>
      <c r="E48" s="157">
        <f t="shared" si="110"/>
        <v>52138</v>
      </c>
      <c r="F48" s="149">
        <f>IF(F37&gt;=0.01,F30,0)</f>
        <v>1158</v>
      </c>
      <c r="G48" s="131">
        <f aca="true" t="shared" si="112" ref="G48:AA48">IF(G37&gt;=0.01,G30,0)</f>
        <v>4445</v>
      </c>
      <c r="H48" s="131">
        <f t="shared" si="112"/>
        <v>4885</v>
      </c>
      <c r="I48" s="131">
        <f t="shared" si="112"/>
        <v>2033</v>
      </c>
      <c r="J48" s="131">
        <f t="shared" si="112"/>
        <v>1321</v>
      </c>
      <c r="K48" s="131">
        <f t="shared" si="112"/>
        <v>1991</v>
      </c>
      <c r="L48" s="131">
        <f t="shared" si="112"/>
        <v>2668</v>
      </c>
      <c r="M48" s="131">
        <f t="shared" si="112"/>
        <v>5943</v>
      </c>
      <c r="N48" s="131">
        <f t="shared" si="112"/>
        <v>6213</v>
      </c>
      <c r="O48" s="131">
        <f t="shared" si="112"/>
        <v>3517</v>
      </c>
      <c r="P48" s="131">
        <f t="shared" si="112"/>
        <v>1738</v>
      </c>
      <c r="Q48" s="131">
        <f t="shared" si="112"/>
        <v>2733</v>
      </c>
      <c r="R48" s="131">
        <f t="shared" si="112"/>
        <v>541</v>
      </c>
      <c r="S48" s="131">
        <f t="shared" si="112"/>
        <v>831</v>
      </c>
      <c r="T48" s="131">
        <f t="shared" si="112"/>
        <v>885</v>
      </c>
      <c r="U48" s="131">
        <f t="shared" si="112"/>
        <v>1505</v>
      </c>
      <c r="V48" s="131">
        <f t="shared" si="112"/>
        <v>867</v>
      </c>
      <c r="W48" s="131">
        <f t="shared" si="112"/>
        <v>897</v>
      </c>
      <c r="X48" s="131">
        <f t="shared" si="112"/>
        <v>7967</v>
      </c>
      <c r="Y48" s="131">
        <f t="shared" si="112"/>
        <v>0</v>
      </c>
      <c r="Z48" s="131">
        <f t="shared" si="112"/>
        <v>0</v>
      </c>
      <c r="AA48" s="131">
        <f t="shared" si="112"/>
        <v>0</v>
      </c>
    </row>
    <row r="49" spans="1:27" ht="14.1" customHeight="1">
      <c r="A49" s="87" t="s">
        <v>62</v>
      </c>
      <c r="B49" s="88"/>
      <c r="C49" s="88"/>
      <c r="D49" s="141"/>
      <c r="E49" s="154">
        <f t="shared" si="110"/>
        <v>154459767.49799037</v>
      </c>
      <c r="F49" s="146">
        <f aca="true" t="shared" si="113" ref="F49:AA49">$B67/SUM($F48:$AA48)*F48</f>
        <v>3430595.9331518826</v>
      </c>
      <c r="G49" s="98">
        <f t="shared" si="113"/>
        <v>13168392.85221081</v>
      </c>
      <c r="H49" s="98">
        <f t="shared" si="113"/>
        <v>14471900.806085447</v>
      </c>
      <c r="I49" s="98">
        <f t="shared" si="113"/>
        <v>6022799.250516215</v>
      </c>
      <c r="J49" s="98">
        <f t="shared" si="113"/>
        <v>3913486.3797008954</v>
      </c>
      <c r="K49" s="98">
        <f t="shared" si="113"/>
        <v>5898373.491282728</v>
      </c>
      <c r="L49" s="98">
        <f t="shared" si="113"/>
        <v>7903998.229403474</v>
      </c>
      <c r="M49" s="98">
        <f t="shared" si="113"/>
        <v>17606244.93153855</v>
      </c>
      <c r="N49" s="98">
        <f t="shared" si="113"/>
        <v>18406124.812325258</v>
      </c>
      <c r="O49" s="98">
        <f t="shared" si="113"/>
        <v>10419176.076766124</v>
      </c>
      <c r="P49" s="98">
        <f t="shared" si="113"/>
        <v>5148856.417804812</v>
      </c>
      <c r="Q49" s="98">
        <f t="shared" si="113"/>
        <v>8096561.904407682</v>
      </c>
      <c r="R49" s="98">
        <f t="shared" si="113"/>
        <v>1602722.2796504046</v>
      </c>
      <c r="S49" s="98">
        <f t="shared" si="113"/>
        <v>2461852.521976869</v>
      </c>
      <c r="T49" s="98">
        <f t="shared" si="113"/>
        <v>2621828.4981342107</v>
      </c>
      <c r="U49" s="98">
        <f t="shared" si="113"/>
        <v>4458589.705866653</v>
      </c>
      <c r="V49" s="98">
        <f t="shared" si="113"/>
        <v>2568503.17274843</v>
      </c>
      <c r="W49" s="98">
        <f t="shared" si="113"/>
        <v>2657378.7150580646</v>
      </c>
      <c r="X49" s="98">
        <f t="shared" si="113"/>
        <v>23602381.519361872</v>
      </c>
      <c r="Y49" s="98">
        <f t="shared" si="113"/>
        <v>0</v>
      </c>
      <c r="Z49" s="98">
        <f t="shared" si="113"/>
        <v>0</v>
      </c>
      <c r="AA49" s="98">
        <f t="shared" si="113"/>
        <v>0</v>
      </c>
    </row>
    <row r="50" spans="1:27" ht="14.1" customHeight="1">
      <c r="A50" s="83"/>
      <c r="B50" s="83"/>
      <c r="C50" s="83"/>
      <c r="D50" s="143"/>
      <c r="E50" s="158"/>
      <c r="F50" s="150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3"/>
      <c r="Z50" s="93"/>
      <c r="AA50" s="93"/>
    </row>
    <row r="51" spans="1:27" ht="14.1" customHeight="1">
      <c r="A51" s="253" t="s">
        <v>59</v>
      </c>
      <c r="B51" s="254"/>
      <c r="C51" s="254"/>
      <c r="D51" s="254"/>
      <c r="E51" s="152"/>
      <c r="F51" s="144"/>
      <c r="G51" s="95"/>
      <c r="H51" s="95"/>
      <c r="I51" s="96"/>
      <c r="J51" s="95"/>
      <c r="K51" s="96"/>
      <c r="L51" s="97"/>
      <c r="M51" s="96"/>
      <c r="N51" s="96"/>
      <c r="O51" s="96"/>
      <c r="P51" s="97"/>
      <c r="Q51" s="96"/>
      <c r="R51" s="97"/>
      <c r="S51" s="97"/>
      <c r="T51" s="97"/>
      <c r="U51" s="96"/>
      <c r="V51" s="97"/>
      <c r="W51" s="96"/>
      <c r="X51" s="97"/>
      <c r="Y51" s="97"/>
      <c r="Z51" s="96"/>
      <c r="AA51" s="96"/>
    </row>
    <row r="52" spans="1:27" ht="14.1" customHeight="1">
      <c r="A52" s="86" t="s">
        <v>93</v>
      </c>
      <c r="B52" s="4"/>
      <c r="C52" s="4"/>
      <c r="D52" s="140"/>
      <c r="E52" s="157">
        <f t="shared" si="110"/>
        <v>686487000</v>
      </c>
      <c r="F52" s="149">
        <f>F34</f>
        <v>18034000</v>
      </c>
      <c r="G52" s="131">
        <f aca="true" t="shared" si="114" ref="G52:O52">G34</f>
        <v>50265000</v>
      </c>
      <c r="H52" s="131">
        <f t="shared" si="114"/>
        <v>48089000</v>
      </c>
      <c r="I52" s="131">
        <f t="shared" si="114"/>
        <v>17697000</v>
      </c>
      <c r="J52" s="133">
        <v>15858000</v>
      </c>
      <c r="K52" s="131">
        <f t="shared" si="114"/>
        <v>24122000</v>
      </c>
      <c r="L52" s="131">
        <f t="shared" si="114"/>
        <v>21067000</v>
      </c>
      <c r="M52" s="131">
        <f t="shared" si="114"/>
        <v>38392000</v>
      </c>
      <c r="N52" s="131">
        <f t="shared" si="114"/>
        <v>76150000</v>
      </c>
      <c r="O52" s="131">
        <f t="shared" si="114"/>
        <v>76904000</v>
      </c>
      <c r="P52" s="133">
        <v>32782000</v>
      </c>
      <c r="Q52" s="133">
        <v>53300000</v>
      </c>
      <c r="R52" s="131">
        <f aca="true" t="shared" si="115" ref="R52:AA52">R34</f>
        <v>5881000</v>
      </c>
      <c r="S52" s="131">
        <f t="shared" si="115"/>
        <v>20507000</v>
      </c>
      <c r="T52" s="131">
        <f t="shared" si="115"/>
        <v>25034000</v>
      </c>
      <c r="U52" s="131">
        <f t="shared" si="115"/>
        <v>20876000</v>
      </c>
      <c r="V52" s="131">
        <f t="shared" si="115"/>
        <v>15690000</v>
      </c>
      <c r="W52" s="131">
        <f t="shared" si="115"/>
        <v>33070000</v>
      </c>
      <c r="X52" s="131">
        <f t="shared" si="115"/>
        <v>92769000</v>
      </c>
      <c r="Y52" s="131">
        <f t="shared" si="115"/>
        <v>0</v>
      </c>
      <c r="Z52" s="131">
        <f t="shared" si="115"/>
        <v>0</v>
      </c>
      <c r="AA52" s="131">
        <f t="shared" si="115"/>
        <v>0</v>
      </c>
    </row>
    <row r="53" spans="1:27" ht="15.75">
      <c r="A53" s="87" t="s">
        <v>84</v>
      </c>
      <c r="B53" s="88"/>
      <c r="C53" s="88"/>
      <c r="D53" s="141"/>
      <c r="E53" s="154">
        <f t="shared" si="110"/>
        <v>480540900</v>
      </c>
      <c r="F53" s="146">
        <f aca="true" t="shared" si="116" ref="F53:AA53">F52*(100-$B$62)/100</f>
        <v>12623800</v>
      </c>
      <c r="G53" s="98">
        <f t="shared" si="116"/>
        <v>35185500</v>
      </c>
      <c r="H53" s="98">
        <f t="shared" si="116"/>
        <v>33662300</v>
      </c>
      <c r="I53" s="98">
        <f t="shared" si="116"/>
        <v>12387900</v>
      </c>
      <c r="J53" s="98">
        <f t="shared" si="116"/>
        <v>11100600</v>
      </c>
      <c r="K53" s="98">
        <f t="shared" si="116"/>
        <v>16885400</v>
      </c>
      <c r="L53" s="98">
        <f t="shared" si="116"/>
        <v>14746900</v>
      </c>
      <c r="M53" s="98">
        <f t="shared" si="116"/>
        <v>26874400</v>
      </c>
      <c r="N53" s="98">
        <f t="shared" si="116"/>
        <v>53305000</v>
      </c>
      <c r="O53" s="98">
        <f t="shared" si="116"/>
        <v>53832800</v>
      </c>
      <c r="P53" s="98">
        <f t="shared" si="116"/>
        <v>22947400</v>
      </c>
      <c r="Q53" s="98">
        <f t="shared" si="116"/>
        <v>37310000</v>
      </c>
      <c r="R53" s="98">
        <f t="shared" si="116"/>
        <v>4116700</v>
      </c>
      <c r="S53" s="98">
        <f t="shared" si="116"/>
        <v>14354900</v>
      </c>
      <c r="T53" s="98">
        <f t="shared" si="116"/>
        <v>17523800</v>
      </c>
      <c r="U53" s="98">
        <f t="shared" si="116"/>
        <v>14613200</v>
      </c>
      <c r="V53" s="98">
        <f t="shared" si="116"/>
        <v>10983000</v>
      </c>
      <c r="W53" s="98">
        <f t="shared" si="116"/>
        <v>23149000</v>
      </c>
      <c r="X53" s="98">
        <f t="shared" si="116"/>
        <v>64938300</v>
      </c>
      <c r="Y53" s="98">
        <f t="shared" si="116"/>
        <v>0</v>
      </c>
      <c r="Z53" s="98">
        <f t="shared" si="116"/>
        <v>0</v>
      </c>
      <c r="AA53" s="98">
        <f t="shared" si="116"/>
        <v>0</v>
      </c>
    </row>
    <row r="54" ht="31.5" customHeight="1"/>
    <row r="55" spans="1:27" ht="21.95" customHeight="1" thickBot="1">
      <c r="A55" s="99" t="s">
        <v>66</v>
      </c>
      <c r="B55" s="100"/>
      <c r="C55" s="100"/>
      <c r="D55" s="159"/>
      <c r="E55" s="161">
        <f aca="true" t="shared" si="117" ref="E55">SUM(F55:AA55)</f>
        <v>1.0000000000000002</v>
      </c>
      <c r="F55" s="160">
        <f aca="true" t="shared" si="118" ref="F55:AA55">(F49+F44)/$B63</f>
        <v>0.026056212301823645</v>
      </c>
      <c r="G55" s="160">
        <f t="shared" si="118"/>
        <v>0.08336444654157163</v>
      </c>
      <c r="H55" s="160">
        <f t="shared" si="118"/>
        <v>0.08468127192045095</v>
      </c>
      <c r="I55" s="160">
        <f t="shared" si="118"/>
        <v>0.04428209895254843</v>
      </c>
      <c r="J55" s="160">
        <f t="shared" si="118"/>
        <v>0.03404004900817005</v>
      </c>
      <c r="K55" s="160">
        <f t="shared" si="118"/>
        <v>0.04555763233316326</v>
      </c>
      <c r="L55" s="160">
        <f t="shared" si="118"/>
        <v>0.04965711297692618</v>
      </c>
      <c r="M55" s="160">
        <f t="shared" si="118"/>
        <v>0.10491302914926659</v>
      </c>
      <c r="N55" s="160">
        <f t="shared" si="118"/>
        <v>0.1087969525832303</v>
      </c>
      <c r="O55" s="160">
        <f t="shared" si="118"/>
        <v>0.06437616010566137</v>
      </c>
      <c r="P55" s="160">
        <f t="shared" si="118"/>
        <v>0.03878542014632269</v>
      </c>
      <c r="Q55" s="160">
        <f t="shared" si="118"/>
        <v>0.05873749498992024</v>
      </c>
      <c r="R55" s="160">
        <f t="shared" si="118"/>
        <v>0.012794763097855499</v>
      </c>
      <c r="S55" s="160">
        <f t="shared" si="118"/>
        <v>0.01383355248376417</v>
      </c>
      <c r="T55" s="160">
        <f t="shared" si="118"/>
        <v>0.01899630208283761</v>
      </c>
      <c r="U55" s="160">
        <f t="shared" si="118"/>
        <v>0.02854150749538698</v>
      </c>
      <c r="V55" s="160">
        <f t="shared" si="118"/>
        <v>0.0199905066859869</v>
      </c>
      <c r="W55" s="160">
        <f t="shared" si="118"/>
        <v>0.027314284310646194</v>
      </c>
      <c r="X55" s="160">
        <f t="shared" si="118"/>
        <v>0.13528120283446735</v>
      </c>
      <c r="Y55" s="160">
        <f t="shared" si="118"/>
        <v>0</v>
      </c>
      <c r="Z55" s="160">
        <f t="shared" si="118"/>
        <v>0</v>
      </c>
      <c r="AA55" s="160">
        <f t="shared" si="118"/>
        <v>0</v>
      </c>
    </row>
    <row r="58" spans="1:27" ht="40.5" customHeight="1" thickBot="1">
      <c r="A58" s="179" t="s">
        <v>88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</row>
    <row r="59" spans="1:25" ht="21" customHeight="1">
      <c r="A59" s="108" t="s">
        <v>55</v>
      </c>
      <c r="B59" s="109"/>
      <c r="Y59"/>
    </row>
    <row r="60" spans="1:25" ht="17.45" customHeight="1">
      <c r="A60" s="111" t="s">
        <v>75</v>
      </c>
      <c r="B60" s="167">
        <v>686487855.5466238</v>
      </c>
      <c r="D60" s="121"/>
      <c r="E60" s="121"/>
      <c r="Y60"/>
    </row>
    <row r="61" spans="1:25" ht="17.45" customHeight="1">
      <c r="A61" s="111" t="s">
        <v>82</v>
      </c>
      <c r="B61" s="167">
        <f>B60*(100-B62)/100</f>
        <v>480541498.88263667</v>
      </c>
      <c r="D61" s="121"/>
      <c r="E61" s="121"/>
      <c r="G61" s="188"/>
      <c r="Y61"/>
    </row>
    <row r="62" spans="1:25" ht="17.45" customHeight="1">
      <c r="A62" s="169" t="s">
        <v>51</v>
      </c>
      <c r="B62" s="168">
        <v>30</v>
      </c>
      <c r="D62" s="121"/>
      <c r="E62" s="121"/>
      <c r="F62" s="121"/>
      <c r="H62" s="121"/>
      <c r="Y62"/>
    </row>
    <row r="63" spans="1:4" ht="17.45" customHeight="1">
      <c r="A63" s="111" t="s">
        <v>52</v>
      </c>
      <c r="B63" s="112">
        <f>B60*B62/100</f>
        <v>205946356.66398716</v>
      </c>
      <c r="D63" s="121"/>
    </row>
    <row r="64" spans="1:4" ht="17.45" customHeight="1">
      <c r="A64" s="85" t="s">
        <v>53</v>
      </c>
      <c r="B64" s="113">
        <v>25</v>
      </c>
      <c r="D64" s="5"/>
    </row>
    <row r="65" spans="1:6" ht="17.45" customHeight="1">
      <c r="A65" s="111" t="s">
        <v>49</v>
      </c>
      <c r="B65" s="112">
        <f>B63*B64/100</f>
        <v>51486589.16599679</v>
      </c>
      <c r="F65" s="121"/>
    </row>
    <row r="66" spans="1:2" ht="17.45" customHeight="1">
      <c r="A66" s="85" t="s">
        <v>54</v>
      </c>
      <c r="B66" s="113">
        <v>75</v>
      </c>
    </row>
    <row r="67" spans="1:2" ht="17.45" customHeight="1">
      <c r="A67" s="111" t="s">
        <v>50</v>
      </c>
      <c r="B67" s="112">
        <f>B63*B66/100</f>
        <v>154459767.49799037</v>
      </c>
    </row>
    <row r="68" spans="1:2" ht="37.5" customHeight="1">
      <c r="A68" s="105"/>
      <c r="B68" s="106"/>
    </row>
    <row r="69" spans="1:27" ht="40.5" customHeight="1" thickBot="1">
      <c r="A69" s="179" t="s">
        <v>89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</row>
    <row r="70" spans="1:27" ht="32.25" thickBot="1">
      <c r="A70" s="107"/>
      <c r="B70" s="110"/>
      <c r="C70" s="110"/>
      <c r="D70" s="110"/>
      <c r="E70" s="139" t="s">
        <v>83</v>
      </c>
      <c r="F70" s="162" t="s">
        <v>4</v>
      </c>
      <c r="G70" s="103" t="s">
        <v>5</v>
      </c>
      <c r="H70" s="103" t="s">
        <v>21</v>
      </c>
      <c r="I70" s="103" t="s">
        <v>6</v>
      </c>
      <c r="J70" s="103" t="s">
        <v>7</v>
      </c>
      <c r="K70" s="103" t="s">
        <v>8</v>
      </c>
      <c r="L70" s="103" t="s">
        <v>9</v>
      </c>
      <c r="M70" s="103" t="s">
        <v>23</v>
      </c>
      <c r="N70" s="103" t="s">
        <v>10</v>
      </c>
      <c r="O70" s="103" t="s">
        <v>11</v>
      </c>
      <c r="P70" s="103" t="s">
        <v>12</v>
      </c>
      <c r="Q70" s="103" t="s">
        <v>13</v>
      </c>
      <c r="R70" s="103" t="s">
        <v>80</v>
      </c>
      <c r="S70" s="103" t="s">
        <v>22</v>
      </c>
      <c r="T70" s="103" t="s">
        <v>14</v>
      </c>
      <c r="U70" s="103" t="s">
        <v>15</v>
      </c>
      <c r="V70" s="103" t="s">
        <v>79</v>
      </c>
      <c r="W70" s="103" t="s">
        <v>16</v>
      </c>
      <c r="X70" s="132" t="s">
        <v>17</v>
      </c>
      <c r="Y70" s="231" t="s">
        <v>18</v>
      </c>
      <c r="Z70" s="232" t="s">
        <v>19</v>
      </c>
      <c r="AA70" s="233" t="s">
        <v>20</v>
      </c>
    </row>
    <row r="71" spans="1:27" s="200" customFormat="1" ht="27" customHeight="1">
      <c r="A71" s="192" t="s">
        <v>74</v>
      </c>
      <c r="B71" s="193"/>
      <c r="C71" s="194"/>
      <c r="D71" s="195"/>
      <c r="E71" s="196">
        <f>SUM(F71:AA71)</f>
        <v>686487000</v>
      </c>
      <c r="F71" s="197">
        <f aca="true" t="shared" si="119" ref="F71:AA71">F34</f>
        <v>18034000</v>
      </c>
      <c r="G71" s="198">
        <f t="shared" si="119"/>
        <v>50265000</v>
      </c>
      <c r="H71" s="198">
        <f t="shared" si="119"/>
        <v>48089000</v>
      </c>
      <c r="I71" s="198">
        <f t="shared" si="119"/>
        <v>17697000</v>
      </c>
      <c r="J71" s="198">
        <f t="shared" si="119"/>
        <v>15858000</v>
      </c>
      <c r="K71" s="198">
        <f t="shared" si="119"/>
        <v>24122000</v>
      </c>
      <c r="L71" s="198">
        <f t="shared" si="119"/>
        <v>21067000</v>
      </c>
      <c r="M71" s="198">
        <f t="shared" si="119"/>
        <v>38392000</v>
      </c>
      <c r="N71" s="198">
        <f t="shared" si="119"/>
        <v>76150000</v>
      </c>
      <c r="O71" s="198">
        <f t="shared" si="119"/>
        <v>76904000</v>
      </c>
      <c r="P71" s="198">
        <f t="shared" si="119"/>
        <v>32782000</v>
      </c>
      <c r="Q71" s="198">
        <f t="shared" si="119"/>
        <v>53300000</v>
      </c>
      <c r="R71" s="198">
        <f t="shared" si="119"/>
        <v>5881000</v>
      </c>
      <c r="S71" s="198">
        <f t="shared" si="119"/>
        <v>20507000</v>
      </c>
      <c r="T71" s="198">
        <f t="shared" si="119"/>
        <v>25034000</v>
      </c>
      <c r="U71" s="198">
        <f t="shared" si="119"/>
        <v>20876000</v>
      </c>
      <c r="V71" s="198">
        <f t="shared" si="119"/>
        <v>15690000</v>
      </c>
      <c r="W71" s="198">
        <f t="shared" si="119"/>
        <v>33070000</v>
      </c>
      <c r="X71" s="199">
        <f t="shared" si="119"/>
        <v>92769000</v>
      </c>
      <c r="Y71" s="228">
        <f t="shared" si="119"/>
        <v>0</v>
      </c>
      <c r="Z71" s="229">
        <f t="shared" si="119"/>
        <v>0</v>
      </c>
      <c r="AA71" s="230">
        <f t="shared" si="119"/>
        <v>0</v>
      </c>
    </row>
    <row r="72" spans="1:27" ht="27" customHeight="1">
      <c r="A72" s="166" t="s">
        <v>91</v>
      </c>
      <c r="B72" s="163"/>
      <c r="C72" s="83"/>
      <c r="D72" s="143"/>
      <c r="E72" s="189">
        <f aca="true" t="shared" si="120" ref="E72">SUM(F72:AA72)</f>
        <v>686487256.6639873</v>
      </c>
      <c r="F72" s="234">
        <f aca="true" t="shared" si="121" ref="F72:AA72">F44+F49+F53</f>
        <v>17989981.99202394</v>
      </c>
      <c r="G72" s="235">
        <f t="shared" si="121"/>
        <v>52354104.0405464</v>
      </c>
      <c r="H72" s="235">
        <f t="shared" si="121"/>
        <v>51102099.42968927</v>
      </c>
      <c r="I72" s="235">
        <f t="shared" si="121"/>
        <v>21507636.94471151</v>
      </c>
      <c r="J72" s="235">
        <f t="shared" si="121"/>
        <v>18111024.073896192</v>
      </c>
      <c r="K72" s="235">
        <f t="shared" si="121"/>
        <v>26267828.397252433</v>
      </c>
      <c r="L72" s="235">
        <f t="shared" si="121"/>
        <v>24973601.500049945</v>
      </c>
      <c r="M72" s="235">
        <f t="shared" si="121"/>
        <v>48480856.119874135</v>
      </c>
      <c r="N72" s="235">
        <f t="shared" si="121"/>
        <v>75711336.00066085</v>
      </c>
      <c r="O72" s="235">
        <f t="shared" si="121"/>
        <v>67090835.629778475</v>
      </c>
      <c r="P72" s="235">
        <f t="shared" si="121"/>
        <v>30935115.970817167</v>
      </c>
      <c r="Q72" s="235">
        <f t="shared" si="121"/>
        <v>49406773.09274327</v>
      </c>
      <c r="R72" s="235">
        <f t="shared" si="121"/>
        <v>6751734.84438217</v>
      </c>
      <c r="S72" s="235">
        <f t="shared" si="121"/>
        <v>17203869.733751282</v>
      </c>
      <c r="T72" s="235">
        <f t="shared" si="121"/>
        <v>21436019.204048917</v>
      </c>
      <c r="U72" s="235">
        <f t="shared" si="121"/>
        <v>20491219.482372828</v>
      </c>
      <c r="V72" s="235">
        <f t="shared" si="121"/>
        <v>15099972.019846078</v>
      </c>
      <c r="W72" s="235">
        <f t="shared" si="121"/>
        <v>28774277.33866189</v>
      </c>
      <c r="X72" s="236">
        <f t="shared" si="121"/>
        <v>92798970.84888041</v>
      </c>
      <c r="Y72" s="237">
        <f t="shared" si="121"/>
        <v>0</v>
      </c>
      <c r="Z72" s="235">
        <f t="shared" si="121"/>
        <v>0</v>
      </c>
      <c r="AA72" s="238">
        <f t="shared" si="121"/>
        <v>0</v>
      </c>
    </row>
    <row r="73" spans="1:28" s="200" customFormat="1" ht="27" customHeight="1">
      <c r="A73" s="192" t="s">
        <v>90</v>
      </c>
      <c r="B73" s="201"/>
      <c r="C73" s="194"/>
      <c r="D73" s="195"/>
      <c r="E73" s="202">
        <f>0.03*E71</f>
        <v>20594610</v>
      </c>
      <c r="F73" s="203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22"/>
      <c r="Y73" s="225"/>
      <c r="Z73" s="204"/>
      <c r="AA73" s="218"/>
      <c r="AB73" s="205"/>
    </row>
    <row r="74" spans="1:28" s="200" customFormat="1" ht="27" customHeight="1">
      <c r="A74" s="206" t="s">
        <v>66</v>
      </c>
      <c r="B74" s="207"/>
      <c r="C74" s="208"/>
      <c r="D74" s="209"/>
      <c r="E74" s="211">
        <f>SUM(F74:AA74)</f>
        <v>1.0000000000000002</v>
      </c>
      <c r="F74" s="210">
        <f>F55</f>
        <v>0.026056212301823645</v>
      </c>
      <c r="G74" s="210">
        <f aca="true" t="shared" si="122" ref="G74:AA74">G55</f>
        <v>0.08336444654157163</v>
      </c>
      <c r="H74" s="210">
        <f t="shared" si="122"/>
        <v>0.08468127192045095</v>
      </c>
      <c r="I74" s="210">
        <f t="shared" si="122"/>
        <v>0.04428209895254843</v>
      </c>
      <c r="J74" s="210">
        <f t="shared" si="122"/>
        <v>0.03404004900817005</v>
      </c>
      <c r="K74" s="210">
        <f t="shared" si="122"/>
        <v>0.04555763233316326</v>
      </c>
      <c r="L74" s="210">
        <f t="shared" si="122"/>
        <v>0.04965711297692618</v>
      </c>
      <c r="M74" s="210">
        <f t="shared" si="122"/>
        <v>0.10491302914926659</v>
      </c>
      <c r="N74" s="245">
        <f t="shared" si="122"/>
        <v>0.1087969525832303</v>
      </c>
      <c r="O74" s="245">
        <f t="shared" si="122"/>
        <v>0.06437616010566137</v>
      </c>
      <c r="P74" s="245">
        <f t="shared" si="122"/>
        <v>0.03878542014632269</v>
      </c>
      <c r="Q74" s="245">
        <f t="shared" si="122"/>
        <v>0.05873749498992024</v>
      </c>
      <c r="R74" s="210">
        <f t="shared" si="122"/>
        <v>0.012794763097855499</v>
      </c>
      <c r="S74" s="210">
        <f t="shared" si="122"/>
        <v>0.01383355248376417</v>
      </c>
      <c r="T74" s="210">
        <f t="shared" si="122"/>
        <v>0.01899630208283761</v>
      </c>
      <c r="U74" s="210">
        <f t="shared" si="122"/>
        <v>0.02854150749538698</v>
      </c>
      <c r="V74" s="210">
        <f t="shared" si="122"/>
        <v>0.0199905066859869</v>
      </c>
      <c r="W74" s="210">
        <f t="shared" si="122"/>
        <v>0.027314284310646194</v>
      </c>
      <c r="X74" s="223">
        <f t="shared" si="122"/>
        <v>0.13528120283446735</v>
      </c>
      <c r="Y74" s="226">
        <f t="shared" si="122"/>
        <v>0</v>
      </c>
      <c r="Z74" s="210">
        <f t="shared" si="122"/>
        <v>0</v>
      </c>
      <c r="AA74" s="219">
        <f t="shared" si="122"/>
        <v>0</v>
      </c>
      <c r="AB74" s="205"/>
    </row>
    <row r="75" spans="1:28" s="200" customFormat="1" ht="27" customHeight="1">
      <c r="A75" s="206" t="s">
        <v>101</v>
      </c>
      <c r="B75" s="207"/>
      <c r="C75" s="208"/>
      <c r="D75" s="209"/>
      <c r="E75" s="211"/>
      <c r="F75" s="210"/>
      <c r="G75" s="210"/>
      <c r="H75" s="210"/>
      <c r="I75" s="210"/>
      <c r="J75" s="252">
        <f>B89/(B86/100)/100</f>
        <v>0.018093107613483345</v>
      </c>
      <c r="K75" s="210"/>
      <c r="L75" s="210"/>
      <c r="M75" s="210"/>
      <c r="N75" s="252">
        <f>B88/(B86/100)/100</f>
        <v>0.0007116087100906116</v>
      </c>
      <c r="O75" s="245"/>
      <c r="P75" s="252">
        <f>B91/(B86/100)/100</f>
        <v>0.08064898714360265</v>
      </c>
      <c r="Q75" s="245"/>
      <c r="R75" s="210"/>
      <c r="S75" s="210"/>
      <c r="T75" s="210"/>
      <c r="U75" s="210"/>
      <c r="V75" s="210"/>
      <c r="W75" s="210"/>
      <c r="X75" s="223"/>
      <c r="Y75" s="226"/>
      <c r="Z75" s="210"/>
      <c r="AA75" s="219"/>
      <c r="AB75" s="205"/>
    </row>
    <row r="76" spans="1:28" s="217" customFormat="1" ht="27" customHeight="1">
      <c r="A76" s="212" t="s">
        <v>94</v>
      </c>
      <c r="B76" s="213"/>
      <c r="C76" s="214"/>
      <c r="D76" s="215"/>
      <c r="E76" s="189">
        <f>E73*0.2</f>
        <v>4118922</v>
      </c>
      <c r="F76" s="239"/>
      <c r="G76" s="240"/>
      <c r="H76" s="240"/>
      <c r="I76" s="240"/>
      <c r="J76" s="235">
        <f>J74/($J$74+$N$74+$P$74)*$E$76</f>
        <v>771976.8594612264</v>
      </c>
      <c r="K76" s="240"/>
      <c r="L76" s="240"/>
      <c r="M76" s="240"/>
      <c r="N76" s="235">
        <f>N74/($J$74+$N$74+$P$74)*$E$76</f>
        <v>2467350.436363817</v>
      </c>
      <c r="O76" s="240"/>
      <c r="P76" s="235">
        <f>P74/($J$74+$N$74+$P$74)*$E$76</f>
        <v>879594.704174957</v>
      </c>
      <c r="Q76" s="240"/>
      <c r="R76" s="240"/>
      <c r="S76" s="240"/>
      <c r="T76" s="240"/>
      <c r="U76" s="240"/>
      <c r="V76" s="240"/>
      <c r="W76" s="240"/>
      <c r="X76" s="241"/>
      <c r="Y76" s="242"/>
      <c r="Z76" s="240"/>
      <c r="AA76" s="243"/>
      <c r="AB76" s="216"/>
    </row>
    <row r="77" spans="1:27" ht="27" customHeight="1" thickBot="1">
      <c r="A77" s="212" t="s">
        <v>102</v>
      </c>
      <c r="B77" s="164"/>
      <c r="C77" s="165"/>
      <c r="D77" s="170"/>
      <c r="E77" s="191">
        <f>E73*0.8</f>
        <v>16475688</v>
      </c>
      <c r="F77" s="244"/>
      <c r="G77" s="244"/>
      <c r="H77" s="244"/>
      <c r="I77" s="244"/>
      <c r="J77" s="244">
        <f>J75/(J75+N75+P75)*E77</f>
        <v>2997338.3151946575</v>
      </c>
      <c r="K77" s="244"/>
      <c r="L77" s="244"/>
      <c r="M77" s="244"/>
      <c r="N77" s="244">
        <f>N75/(J75+N75+P75)*E77</f>
        <v>117886.44039188346</v>
      </c>
      <c r="O77" s="244"/>
      <c r="P77" s="244">
        <f>P75/(J75+N75+P75)*E77</f>
        <v>13360463.244413458</v>
      </c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</row>
    <row r="78" spans="1:27" s="187" customFormat="1" ht="27" customHeight="1" thickBot="1" thickTop="1">
      <c r="A78" s="182" t="s">
        <v>85</v>
      </c>
      <c r="B78" s="183"/>
      <c r="C78" s="184"/>
      <c r="D78" s="185"/>
      <c r="E78" s="186">
        <f>SUM(F78:AA78)</f>
        <v>707081866.6639873</v>
      </c>
      <c r="F78" s="220">
        <f>F72+F76+F77</f>
        <v>17989981.99202394</v>
      </c>
      <c r="G78" s="220">
        <f aca="true" t="shared" si="123" ref="G78:AA78">G72+G76+G77</f>
        <v>52354104.0405464</v>
      </c>
      <c r="H78" s="220">
        <f t="shared" si="123"/>
        <v>51102099.42968927</v>
      </c>
      <c r="I78" s="220">
        <f t="shared" si="123"/>
        <v>21507636.94471151</v>
      </c>
      <c r="J78" s="220">
        <f t="shared" si="123"/>
        <v>21880339.248552077</v>
      </c>
      <c r="K78" s="220">
        <f t="shared" si="123"/>
        <v>26267828.397252433</v>
      </c>
      <c r="L78" s="220">
        <f t="shared" si="123"/>
        <v>24973601.500049945</v>
      </c>
      <c r="M78" s="220">
        <f t="shared" si="123"/>
        <v>48480856.119874135</v>
      </c>
      <c r="N78" s="220">
        <f t="shared" si="123"/>
        <v>78296572.87741655</v>
      </c>
      <c r="O78" s="220">
        <f t="shared" si="123"/>
        <v>67090835.629778475</v>
      </c>
      <c r="P78" s="220">
        <f t="shared" si="123"/>
        <v>45175173.91940558</v>
      </c>
      <c r="Q78" s="220">
        <f t="shared" si="123"/>
        <v>49406773.09274327</v>
      </c>
      <c r="R78" s="220">
        <f t="shared" si="123"/>
        <v>6751734.84438217</v>
      </c>
      <c r="S78" s="220">
        <f t="shared" si="123"/>
        <v>17203869.733751282</v>
      </c>
      <c r="T78" s="220">
        <f t="shared" si="123"/>
        <v>21436019.204048917</v>
      </c>
      <c r="U78" s="220">
        <f t="shared" si="123"/>
        <v>20491219.482372828</v>
      </c>
      <c r="V78" s="220">
        <f t="shared" si="123"/>
        <v>15099972.019846078</v>
      </c>
      <c r="W78" s="220">
        <f t="shared" si="123"/>
        <v>28774277.33866189</v>
      </c>
      <c r="X78" s="224">
        <f t="shared" si="123"/>
        <v>92798970.84888041</v>
      </c>
      <c r="Y78" s="227">
        <f t="shared" si="123"/>
        <v>0</v>
      </c>
      <c r="Z78" s="220">
        <f t="shared" si="123"/>
        <v>0</v>
      </c>
      <c r="AA78" s="221">
        <f t="shared" si="123"/>
        <v>0</v>
      </c>
    </row>
    <row r="81" spans="1:27" ht="25.5" customHeight="1">
      <c r="A81" s="192" t="s">
        <v>92</v>
      </c>
      <c r="F81" s="190">
        <f>F78-F71</f>
        <v>-44018.00797605887</v>
      </c>
      <c r="G81" s="190">
        <f aca="true" t="shared" si="124" ref="G81:AA81">G78-G71</f>
        <v>2089104.0405464023</v>
      </c>
      <c r="H81" s="190">
        <f t="shared" si="124"/>
        <v>3013099.4296892732</v>
      </c>
      <c r="I81" s="190">
        <f t="shared" si="124"/>
        <v>3810636.94471151</v>
      </c>
      <c r="J81" s="190">
        <f t="shared" si="124"/>
        <v>6022339.2485520765</v>
      </c>
      <c r="K81" s="190">
        <f t="shared" si="124"/>
        <v>2145828.397252433</v>
      </c>
      <c r="L81" s="190">
        <f t="shared" si="124"/>
        <v>3906601.500049945</v>
      </c>
      <c r="M81" s="190">
        <f t="shared" si="124"/>
        <v>10088856.119874135</v>
      </c>
      <c r="N81" s="190">
        <f t="shared" si="124"/>
        <v>2146572.877416551</v>
      </c>
      <c r="O81" s="190">
        <f t="shared" si="124"/>
        <v>-9813164.370221525</v>
      </c>
      <c r="P81" s="190">
        <f t="shared" si="124"/>
        <v>12393173.91940558</v>
      </c>
      <c r="Q81" s="190">
        <f t="shared" si="124"/>
        <v>-3893226.90725673</v>
      </c>
      <c r="R81" s="190">
        <f t="shared" si="124"/>
        <v>870734.8443821697</v>
      </c>
      <c r="S81" s="190">
        <f t="shared" si="124"/>
        <v>-3303130.266248718</v>
      </c>
      <c r="T81" s="190">
        <f t="shared" si="124"/>
        <v>-3597980.7959510833</v>
      </c>
      <c r="U81" s="190">
        <f t="shared" si="124"/>
        <v>-384780.5176271722</v>
      </c>
      <c r="V81" s="190">
        <f t="shared" si="124"/>
        <v>-590027.980153922</v>
      </c>
      <c r="W81" s="190">
        <f t="shared" si="124"/>
        <v>-4295722.6613381095</v>
      </c>
      <c r="X81" s="190">
        <f t="shared" si="124"/>
        <v>29970.848880410194</v>
      </c>
      <c r="Y81" s="190">
        <f t="shared" si="124"/>
        <v>0</v>
      </c>
      <c r="Z81" s="190">
        <f t="shared" si="124"/>
        <v>0</v>
      </c>
      <c r="AA81" s="190">
        <f t="shared" si="124"/>
        <v>0</v>
      </c>
    </row>
    <row r="85" spans="1:5" ht="15">
      <c r="A85" s="250"/>
      <c r="E85" s="202"/>
    </row>
    <row r="86" spans="1:12" ht="15">
      <c r="A86" t="s">
        <v>95</v>
      </c>
      <c r="B86" s="251">
        <f>SUM(B87:B91)</f>
        <v>274027000</v>
      </c>
      <c r="L86" s="121"/>
    </row>
    <row r="87" spans="1:12" ht="15">
      <c r="A87" t="s">
        <v>96</v>
      </c>
      <c r="B87" s="120">
        <v>197538000</v>
      </c>
      <c r="L87" s="121"/>
    </row>
    <row r="88" spans="1:12" ht="15">
      <c r="A88" t="s">
        <v>97</v>
      </c>
      <c r="B88" s="120">
        <v>195000</v>
      </c>
      <c r="L88" s="121"/>
    </row>
    <row r="89" spans="1:2" ht="15">
      <c r="A89" t="s">
        <v>98</v>
      </c>
      <c r="B89" s="120">
        <v>4958000</v>
      </c>
    </row>
    <row r="90" spans="1:2" ht="15">
      <c r="A90" t="s">
        <v>99</v>
      </c>
      <c r="B90" s="120">
        <v>49236000</v>
      </c>
    </row>
    <row r="91" spans="1:2" ht="15">
      <c r="A91" t="s">
        <v>100</v>
      </c>
      <c r="B91" s="120">
        <v>22100000</v>
      </c>
    </row>
  </sheetData>
  <mergeCells count="6">
    <mergeCell ref="A42:D42"/>
    <mergeCell ref="A46:D46"/>
    <mergeCell ref="A51:D51"/>
    <mergeCell ref="A24:D24"/>
    <mergeCell ref="A28:D28"/>
    <mergeCell ref="A33:D33"/>
  </mergeCells>
  <printOptions/>
  <pageMargins left="0.7086614173228347" right="0.7086614173228347" top="0.7874015748031497" bottom="0.7874015748031497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9247F-5492-3045-97BF-D7EE716003AF}">
  <dimension ref="A1:Q53"/>
  <sheetViews>
    <sheetView zoomScale="55" zoomScaleNormal="55" workbookViewId="0" topLeftCell="A28">
      <selection activeCell="B31" sqref="B31:B49"/>
    </sheetView>
  </sheetViews>
  <sheetFormatPr defaultColWidth="11.421875" defaultRowHeight="15"/>
  <cols>
    <col min="1" max="1" width="31.00390625" style="0" customWidth="1"/>
    <col min="2" max="2" width="14.7109375" style="0" customWidth="1"/>
    <col min="3" max="3" width="16.421875" style="0" customWidth="1"/>
    <col min="5" max="17" width="10.57421875" style="0" customWidth="1"/>
  </cols>
  <sheetData>
    <row r="1" spans="1:17" ht="15.75">
      <c r="A1" s="130" t="s">
        <v>31</v>
      </c>
      <c r="B1" s="130" t="s">
        <v>46</v>
      </c>
      <c r="C1" s="130" t="s">
        <v>39</v>
      </c>
      <c r="D1" s="130" t="s">
        <v>32</v>
      </c>
      <c r="E1" s="130" t="s">
        <v>40</v>
      </c>
      <c r="F1" s="130" t="s">
        <v>33</v>
      </c>
      <c r="G1" s="130" t="s">
        <v>41</v>
      </c>
      <c r="H1" s="130" t="s">
        <v>34</v>
      </c>
      <c r="I1" s="130" t="s">
        <v>42</v>
      </c>
      <c r="J1" s="130" t="s">
        <v>35</v>
      </c>
      <c r="K1" s="130" t="s">
        <v>43</v>
      </c>
      <c r="L1" s="130" t="s">
        <v>36</v>
      </c>
      <c r="M1" s="130" t="s">
        <v>44</v>
      </c>
      <c r="N1" s="130" t="s">
        <v>37</v>
      </c>
      <c r="O1" s="130" t="s">
        <v>45</v>
      </c>
      <c r="P1" s="130" t="s">
        <v>38</v>
      </c>
      <c r="Q1" s="130" t="s">
        <v>47</v>
      </c>
    </row>
    <row r="2" spans="1:17" ht="15.75">
      <c r="A2" s="2" t="s">
        <v>4</v>
      </c>
      <c r="B2" s="124">
        <v>132</v>
      </c>
      <c r="C2" s="85">
        <v>12</v>
      </c>
      <c r="D2" s="85">
        <v>16</v>
      </c>
      <c r="E2" s="104">
        <v>36</v>
      </c>
      <c r="F2" s="128">
        <v>47</v>
      </c>
      <c r="G2" s="85">
        <v>15</v>
      </c>
      <c r="H2" s="104">
        <v>20</v>
      </c>
      <c r="I2" s="85">
        <v>8</v>
      </c>
      <c r="J2" s="85">
        <v>10</v>
      </c>
      <c r="K2" s="104">
        <v>42</v>
      </c>
      <c r="L2" s="85">
        <v>55</v>
      </c>
      <c r="M2" s="104">
        <v>3</v>
      </c>
      <c r="N2" s="128">
        <v>4</v>
      </c>
      <c r="O2" s="104">
        <v>57</v>
      </c>
      <c r="P2" s="128">
        <v>75</v>
      </c>
      <c r="Q2" s="129">
        <f aca="true" t="shared" si="0" ref="Q2:Q19">E2/K2</f>
        <v>0.8571428571428571</v>
      </c>
    </row>
    <row r="3" spans="1:17" ht="15.75">
      <c r="A3" s="2" t="s">
        <v>5</v>
      </c>
      <c r="B3" s="124">
        <v>657</v>
      </c>
      <c r="C3" s="85">
        <v>21</v>
      </c>
      <c r="D3" s="85">
        <v>140</v>
      </c>
      <c r="E3" s="104">
        <v>40</v>
      </c>
      <c r="F3" s="128">
        <v>265</v>
      </c>
      <c r="G3" s="85">
        <v>21</v>
      </c>
      <c r="H3" s="104">
        <v>136</v>
      </c>
      <c r="I3" s="85">
        <v>13</v>
      </c>
      <c r="J3" s="85">
        <v>88</v>
      </c>
      <c r="K3" s="104">
        <v>26</v>
      </c>
      <c r="L3" s="85">
        <v>168</v>
      </c>
      <c r="M3" s="104">
        <v>6</v>
      </c>
      <c r="N3" s="128">
        <v>42</v>
      </c>
      <c r="O3" s="104">
        <v>34</v>
      </c>
      <c r="P3" s="128">
        <v>225</v>
      </c>
      <c r="Q3" s="129">
        <f t="shared" si="0"/>
        <v>1.5384615384615385</v>
      </c>
    </row>
    <row r="4" spans="1:17" ht="15.75">
      <c r="A4" s="2" t="s">
        <v>21</v>
      </c>
      <c r="B4" s="124">
        <v>711</v>
      </c>
      <c r="C4" s="85">
        <v>9</v>
      </c>
      <c r="D4" s="85">
        <v>62</v>
      </c>
      <c r="E4" s="104">
        <v>25</v>
      </c>
      <c r="F4" s="128">
        <v>176</v>
      </c>
      <c r="G4" s="85">
        <v>30</v>
      </c>
      <c r="H4" s="104">
        <v>210</v>
      </c>
      <c r="I4" s="85">
        <v>21</v>
      </c>
      <c r="J4" s="85">
        <v>148</v>
      </c>
      <c r="K4" s="104">
        <v>25</v>
      </c>
      <c r="L4" s="85">
        <v>177</v>
      </c>
      <c r="M4" s="104">
        <v>3</v>
      </c>
      <c r="N4" s="128">
        <v>23</v>
      </c>
      <c r="O4" s="104">
        <v>44</v>
      </c>
      <c r="P4" s="128">
        <v>311</v>
      </c>
      <c r="Q4" s="129">
        <f t="shared" si="0"/>
        <v>1</v>
      </c>
    </row>
    <row r="5" spans="1:17" ht="15.75">
      <c r="A5" s="2" t="s">
        <v>6</v>
      </c>
      <c r="B5" s="124">
        <v>326</v>
      </c>
      <c r="C5" s="85">
        <v>14</v>
      </c>
      <c r="D5" s="85">
        <v>46</v>
      </c>
      <c r="E5" s="104">
        <v>30</v>
      </c>
      <c r="F5" s="128">
        <v>97</v>
      </c>
      <c r="G5" s="85">
        <v>24</v>
      </c>
      <c r="H5" s="104">
        <v>78</v>
      </c>
      <c r="I5" s="85">
        <v>16</v>
      </c>
      <c r="J5" s="85">
        <v>51</v>
      </c>
      <c r="K5" s="104">
        <v>31</v>
      </c>
      <c r="L5" s="85">
        <v>100</v>
      </c>
      <c r="M5" s="104">
        <v>3</v>
      </c>
      <c r="N5" s="128">
        <v>11</v>
      </c>
      <c r="O5" s="104">
        <v>35</v>
      </c>
      <c r="P5" s="128">
        <v>113</v>
      </c>
      <c r="Q5" s="129">
        <f t="shared" si="0"/>
        <v>0.967741935483871</v>
      </c>
    </row>
    <row r="6" spans="1:17" ht="15.75">
      <c r="A6" s="3" t="s">
        <v>7</v>
      </c>
      <c r="B6" s="124">
        <v>428</v>
      </c>
      <c r="C6" s="85">
        <v>11</v>
      </c>
      <c r="D6" s="85">
        <v>45</v>
      </c>
      <c r="E6" s="104">
        <v>21</v>
      </c>
      <c r="F6" s="128">
        <v>92</v>
      </c>
      <c r="G6" s="85">
        <v>21</v>
      </c>
      <c r="H6" s="104">
        <v>92</v>
      </c>
      <c r="I6" s="85">
        <v>19</v>
      </c>
      <c r="J6" s="85">
        <v>80</v>
      </c>
      <c r="K6" s="104">
        <v>38</v>
      </c>
      <c r="L6" s="85">
        <v>164</v>
      </c>
      <c r="M6" s="104">
        <v>3</v>
      </c>
      <c r="N6" s="128">
        <v>14</v>
      </c>
      <c r="O6" s="104">
        <v>10</v>
      </c>
      <c r="P6" s="128">
        <v>41</v>
      </c>
      <c r="Q6" s="129">
        <f t="shared" si="0"/>
        <v>0.5526315789473685</v>
      </c>
    </row>
    <row r="7" spans="1:17" ht="15.75">
      <c r="A7" s="3" t="s">
        <v>8</v>
      </c>
      <c r="B7" s="124">
        <v>324</v>
      </c>
      <c r="C7" s="85">
        <v>15</v>
      </c>
      <c r="D7" s="85">
        <v>47</v>
      </c>
      <c r="E7" s="104">
        <v>26</v>
      </c>
      <c r="F7" s="128">
        <v>83</v>
      </c>
      <c r="G7" s="85">
        <v>25</v>
      </c>
      <c r="H7" s="104">
        <v>81</v>
      </c>
      <c r="I7" s="85">
        <v>18</v>
      </c>
      <c r="J7" s="85">
        <v>59</v>
      </c>
      <c r="K7" s="104">
        <v>31</v>
      </c>
      <c r="L7" s="85">
        <v>100</v>
      </c>
      <c r="M7" s="104">
        <v>4</v>
      </c>
      <c r="N7" s="128">
        <v>13</v>
      </c>
      <c r="O7" s="104">
        <v>35</v>
      </c>
      <c r="P7" s="128">
        <v>113</v>
      </c>
      <c r="Q7" s="129">
        <f t="shared" si="0"/>
        <v>0.8387096774193549</v>
      </c>
    </row>
    <row r="8" spans="1:17" ht="15.75">
      <c r="A8" s="3" t="s">
        <v>9</v>
      </c>
      <c r="B8" s="124">
        <v>381</v>
      </c>
      <c r="C8" s="85">
        <v>13</v>
      </c>
      <c r="D8" s="85">
        <v>51</v>
      </c>
      <c r="E8" s="104">
        <v>26</v>
      </c>
      <c r="F8" s="128">
        <v>99</v>
      </c>
      <c r="G8" s="85">
        <v>23</v>
      </c>
      <c r="H8" s="104">
        <v>89</v>
      </c>
      <c r="I8" s="85">
        <v>23</v>
      </c>
      <c r="J8" s="85">
        <v>87</v>
      </c>
      <c r="K8" s="104">
        <v>28</v>
      </c>
      <c r="L8" s="85">
        <v>106</v>
      </c>
      <c r="M8" s="104">
        <v>5</v>
      </c>
      <c r="N8" s="128">
        <v>18</v>
      </c>
      <c r="O8" s="104">
        <v>43</v>
      </c>
      <c r="P8" s="128">
        <v>164</v>
      </c>
      <c r="Q8" s="129">
        <f t="shared" si="0"/>
        <v>0.9285714285714286</v>
      </c>
    </row>
    <row r="9" spans="1:17" ht="15.75">
      <c r="A9" s="3" t="s">
        <v>23</v>
      </c>
      <c r="B9" s="124">
        <v>773</v>
      </c>
      <c r="C9" s="85">
        <v>19</v>
      </c>
      <c r="D9" s="85">
        <v>145</v>
      </c>
      <c r="E9" s="104">
        <v>46</v>
      </c>
      <c r="F9" s="128">
        <v>335</v>
      </c>
      <c r="G9" s="85">
        <v>23</v>
      </c>
      <c r="H9" s="104">
        <v>180</v>
      </c>
      <c r="I9" s="85">
        <v>16</v>
      </c>
      <c r="J9" s="85">
        <v>126</v>
      </c>
      <c r="K9" s="104">
        <v>14</v>
      </c>
      <c r="L9" s="85">
        <v>112</v>
      </c>
      <c r="M9" s="104">
        <v>2</v>
      </c>
      <c r="N9" s="128">
        <v>12</v>
      </c>
      <c r="O9" s="104">
        <v>42</v>
      </c>
      <c r="P9" s="128">
        <v>327</v>
      </c>
      <c r="Q9" s="129">
        <f t="shared" si="0"/>
        <v>3.2857142857142856</v>
      </c>
    </row>
    <row r="10" spans="1:17" ht="15.75">
      <c r="A10" s="3" t="s">
        <v>10</v>
      </c>
      <c r="B10" s="124">
        <v>947</v>
      </c>
      <c r="C10" s="85">
        <v>21</v>
      </c>
      <c r="D10" s="85">
        <v>198</v>
      </c>
      <c r="E10" s="104">
        <v>42</v>
      </c>
      <c r="F10" s="128">
        <v>398</v>
      </c>
      <c r="G10" s="85">
        <v>24</v>
      </c>
      <c r="H10" s="104">
        <v>226</v>
      </c>
      <c r="I10" s="85">
        <v>13</v>
      </c>
      <c r="J10" s="85">
        <v>127</v>
      </c>
      <c r="K10" s="104">
        <v>21</v>
      </c>
      <c r="L10" s="85">
        <v>196</v>
      </c>
      <c r="M10" s="104">
        <v>10</v>
      </c>
      <c r="N10" s="128">
        <v>97</v>
      </c>
      <c r="O10" s="104">
        <v>32</v>
      </c>
      <c r="P10" s="128">
        <v>307</v>
      </c>
      <c r="Q10" s="129">
        <f t="shared" si="0"/>
        <v>2</v>
      </c>
    </row>
    <row r="11" spans="1:17" ht="15.75">
      <c r="A11" s="3" t="s">
        <v>11</v>
      </c>
      <c r="B11" s="124">
        <v>456</v>
      </c>
      <c r="C11" s="85">
        <v>16</v>
      </c>
      <c r="D11" s="85">
        <v>73</v>
      </c>
      <c r="E11" s="104">
        <v>44</v>
      </c>
      <c r="F11" s="128">
        <v>201</v>
      </c>
      <c r="G11" s="85">
        <v>20</v>
      </c>
      <c r="H11" s="104">
        <v>93</v>
      </c>
      <c r="I11" s="85">
        <v>14</v>
      </c>
      <c r="J11" s="85">
        <v>62</v>
      </c>
      <c r="K11" s="104">
        <v>22</v>
      </c>
      <c r="L11" s="85">
        <v>100</v>
      </c>
      <c r="M11" s="104">
        <v>7</v>
      </c>
      <c r="N11" s="128">
        <v>34</v>
      </c>
      <c r="O11" s="104">
        <v>44</v>
      </c>
      <c r="P11" s="128">
        <v>200</v>
      </c>
      <c r="Q11" s="129">
        <f t="shared" si="0"/>
        <v>2</v>
      </c>
    </row>
    <row r="12" spans="1:17" ht="15.75">
      <c r="A12" s="3" t="s">
        <v>12</v>
      </c>
      <c r="B12" s="124">
        <v>241</v>
      </c>
      <c r="C12" s="85">
        <v>30</v>
      </c>
      <c r="D12" s="85">
        <v>73</v>
      </c>
      <c r="E12" s="104">
        <v>57</v>
      </c>
      <c r="F12" s="128">
        <v>137</v>
      </c>
      <c r="G12" s="85">
        <v>21</v>
      </c>
      <c r="H12" s="104">
        <v>51</v>
      </c>
      <c r="I12" s="85">
        <v>13</v>
      </c>
      <c r="J12" s="85">
        <v>32</v>
      </c>
      <c r="K12" s="104">
        <v>9</v>
      </c>
      <c r="L12" s="85">
        <v>21</v>
      </c>
      <c r="M12" s="104">
        <v>13</v>
      </c>
      <c r="N12" s="128">
        <v>31</v>
      </c>
      <c r="O12" s="104">
        <v>31</v>
      </c>
      <c r="P12" s="128">
        <v>75</v>
      </c>
      <c r="Q12" s="129">
        <f t="shared" si="0"/>
        <v>6.333333333333333</v>
      </c>
    </row>
    <row r="13" spans="1:17" ht="15.75">
      <c r="A13" s="3" t="s">
        <v>13</v>
      </c>
      <c r="B13" s="124">
        <v>348</v>
      </c>
      <c r="C13" s="85">
        <v>15</v>
      </c>
      <c r="D13" s="85">
        <v>53</v>
      </c>
      <c r="E13" s="104">
        <v>42</v>
      </c>
      <c r="F13" s="128">
        <v>146</v>
      </c>
      <c r="G13" s="85">
        <v>28</v>
      </c>
      <c r="H13" s="104">
        <v>96</v>
      </c>
      <c r="I13" s="85">
        <v>11</v>
      </c>
      <c r="J13" s="85">
        <v>37</v>
      </c>
      <c r="K13" s="104">
        <v>20</v>
      </c>
      <c r="L13" s="85">
        <v>69</v>
      </c>
      <c r="M13" s="104">
        <v>4</v>
      </c>
      <c r="N13" s="128">
        <v>14</v>
      </c>
      <c r="O13" s="104">
        <v>46</v>
      </c>
      <c r="P13" s="128">
        <v>159</v>
      </c>
      <c r="Q13" s="129">
        <f t="shared" si="0"/>
        <v>2.1</v>
      </c>
    </row>
    <row r="14" spans="1:17" ht="15.75">
      <c r="A14" s="3" t="s">
        <v>80</v>
      </c>
      <c r="B14" s="124">
        <v>92</v>
      </c>
      <c r="C14" s="85">
        <v>5</v>
      </c>
      <c r="D14" s="85">
        <v>5</v>
      </c>
      <c r="E14" s="104">
        <v>25</v>
      </c>
      <c r="F14" s="128">
        <v>23</v>
      </c>
      <c r="G14" s="85">
        <v>22</v>
      </c>
      <c r="H14" s="104">
        <v>20</v>
      </c>
      <c r="I14" s="85">
        <v>22</v>
      </c>
      <c r="J14" s="85">
        <v>20</v>
      </c>
      <c r="K14" s="104">
        <v>32</v>
      </c>
      <c r="L14" s="85">
        <v>29</v>
      </c>
      <c r="M14" s="104">
        <v>3</v>
      </c>
      <c r="N14" s="128">
        <v>3</v>
      </c>
      <c r="O14" s="104">
        <v>36</v>
      </c>
      <c r="P14" s="128">
        <v>33</v>
      </c>
      <c r="Q14" s="129">
        <f t="shared" si="0"/>
        <v>0.78125</v>
      </c>
    </row>
    <row r="15" spans="1:17" ht="15.75">
      <c r="A15" s="3" t="s">
        <v>22</v>
      </c>
      <c r="B15" s="124">
        <v>147</v>
      </c>
      <c r="C15" s="85">
        <v>26</v>
      </c>
      <c r="D15" s="85">
        <v>38</v>
      </c>
      <c r="E15" s="104">
        <v>49</v>
      </c>
      <c r="F15" s="128">
        <v>72</v>
      </c>
      <c r="G15" s="85">
        <v>15</v>
      </c>
      <c r="H15" s="104">
        <v>22</v>
      </c>
      <c r="I15" s="85">
        <v>18</v>
      </c>
      <c r="J15" s="85">
        <v>27</v>
      </c>
      <c r="K15" s="104">
        <v>18</v>
      </c>
      <c r="L15" s="85">
        <v>26</v>
      </c>
      <c r="M15" s="104">
        <v>2</v>
      </c>
      <c r="N15" s="128">
        <v>3</v>
      </c>
      <c r="O15" s="104">
        <v>20</v>
      </c>
      <c r="P15" s="128">
        <v>29</v>
      </c>
      <c r="Q15" s="129">
        <f t="shared" si="0"/>
        <v>2.7222222222222223</v>
      </c>
    </row>
    <row r="16" spans="1:17" ht="15.75">
      <c r="A16" s="3" t="s">
        <v>14</v>
      </c>
      <c r="B16" s="124">
        <v>120</v>
      </c>
      <c r="C16" s="85">
        <v>43</v>
      </c>
      <c r="D16" s="85">
        <v>52</v>
      </c>
      <c r="E16" s="104">
        <v>72</v>
      </c>
      <c r="F16" s="128">
        <v>87</v>
      </c>
      <c r="G16" s="85">
        <v>17</v>
      </c>
      <c r="H16" s="104">
        <v>20</v>
      </c>
      <c r="I16" s="85">
        <v>7</v>
      </c>
      <c r="J16" s="85">
        <v>8</v>
      </c>
      <c r="K16" s="104">
        <v>4</v>
      </c>
      <c r="L16" s="85">
        <v>5</v>
      </c>
      <c r="M16" s="104">
        <v>10</v>
      </c>
      <c r="N16" s="128">
        <v>12</v>
      </c>
      <c r="O16" s="104">
        <v>23</v>
      </c>
      <c r="P16" s="128">
        <v>28</v>
      </c>
      <c r="Q16" s="129">
        <f t="shared" si="0"/>
        <v>18</v>
      </c>
    </row>
    <row r="17" spans="1:17" ht="15.75">
      <c r="A17" s="3" t="s">
        <v>15</v>
      </c>
      <c r="B17" s="124">
        <v>231</v>
      </c>
      <c r="C17" s="85">
        <v>10</v>
      </c>
      <c r="D17" s="85">
        <v>24</v>
      </c>
      <c r="E17" s="104">
        <v>33</v>
      </c>
      <c r="F17" s="128">
        <v>77</v>
      </c>
      <c r="G17" s="85">
        <v>24</v>
      </c>
      <c r="H17" s="104">
        <v>55</v>
      </c>
      <c r="I17" s="85">
        <v>16</v>
      </c>
      <c r="J17" s="85">
        <v>38</v>
      </c>
      <c r="K17" s="104">
        <v>26</v>
      </c>
      <c r="L17" s="85">
        <v>61</v>
      </c>
      <c r="M17" s="104">
        <v>4</v>
      </c>
      <c r="N17" s="128">
        <v>10</v>
      </c>
      <c r="O17" s="104">
        <v>38</v>
      </c>
      <c r="P17" s="128">
        <v>87</v>
      </c>
      <c r="Q17" s="129">
        <f t="shared" si="0"/>
        <v>1.2692307692307692</v>
      </c>
    </row>
    <row r="18" spans="1:17" ht="15.75">
      <c r="A18" s="3" t="s">
        <v>79</v>
      </c>
      <c r="B18" s="124">
        <v>177</v>
      </c>
      <c r="C18" s="85">
        <v>15</v>
      </c>
      <c r="D18" s="85">
        <v>26</v>
      </c>
      <c r="E18" s="104">
        <v>38</v>
      </c>
      <c r="F18" s="128">
        <v>68</v>
      </c>
      <c r="G18" s="85">
        <v>24</v>
      </c>
      <c r="H18" s="104">
        <v>42</v>
      </c>
      <c r="I18" s="85">
        <v>14</v>
      </c>
      <c r="J18" s="85">
        <v>25</v>
      </c>
      <c r="K18" s="104">
        <v>24</v>
      </c>
      <c r="L18" s="85">
        <v>42</v>
      </c>
      <c r="M18" s="104">
        <v>8</v>
      </c>
      <c r="N18" s="128">
        <v>14</v>
      </c>
      <c r="O18" s="104">
        <v>20</v>
      </c>
      <c r="P18" s="128">
        <v>36</v>
      </c>
      <c r="Q18" s="129">
        <f t="shared" si="0"/>
        <v>1.5833333333333333</v>
      </c>
    </row>
    <row r="19" spans="1:17" ht="15.75">
      <c r="A19" s="3" t="s">
        <v>16</v>
      </c>
      <c r="B19" s="124">
        <v>122</v>
      </c>
      <c r="C19" s="85">
        <v>20</v>
      </c>
      <c r="D19" s="85">
        <v>25</v>
      </c>
      <c r="E19" s="104">
        <v>43</v>
      </c>
      <c r="F19" s="128">
        <v>53</v>
      </c>
      <c r="G19" s="85">
        <v>26</v>
      </c>
      <c r="H19" s="104">
        <v>32</v>
      </c>
      <c r="I19" s="85">
        <v>20</v>
      </c>
      <c r="J19" s="85">
        <v>24</v>
      </c>
      <c r="K19" s="104">
        <v>11</v>
      </c>
      <c r="L19" s="85">
        <v>13</v>
      </c>
      <c r="M19" s="104">
        <v>10</v>
      </c>
      <c r="N19" s="128">
        <v>12</v>
      </c>
      <c r="O19" s="104">
        <v>39</v>
      </c>
      <c r="P19" s="128">
        <v>48</v>
      </c>
      <c r="Q19" s="129">
        <f t="shared" si="0"/>
        <v>3.909090909090909</v>
      </c>
    </row>
    <row r="20" spans="1:17" ht="15.75">
      <c r="A20" s="3" t="s">
        <v>17</v>
      </c>
      <c r="B20" s="124">
        <v>1173</v>
      </c>
      <c r="C20" s="85">
        <v>17</v>
      </c>
      <c r="D20" s="85">
        <v>201</v>
      </c>
      <c r="E20" s="104">
        <v>38</v>
      </c>
      <c r="F20" s="128">
        <v>450</v>
      </c>
      <c r="G20" s="85">
        <v>22</v>
      </c>
      <c r="H20" s="104">
        <v>258</v>
      </c>
      <c r="I20" s="85">
        <v>16</v>
      </c>
      <c r="J20" s="85">
        <v>183</v>
      </c>
      <c r="K20" s="104">
        <v>24</v>
      </c>
      <c r="L20" s="85">
        <v>282</v>
      </c>
      <c r="M20" s="104">
        <v>7</v>
      </c>
      <c r="N20" s="128">
        <v>79</v>
      </c>
      <c r="O20" s="104">
        <v>37</v>
      </c>
      <c r="P20" s="128">
        <v>429</v>
      </c>
      <c r="Q20" s="129">
        <f>E20/K20</f>
        <v>1.5833333333333333</v>
      </c>
    </row>
    <row r="21" spans="1:17" ht="15.75">
      <c r="A21" s="3" t="s">
        <v>18</v>
      </c>
      <c r="B21" s="124">
        <v>34</v>
      </c>
      <c r="C21" s="85">
        <v>21</v>
      </c>
      <c r="D21" s="85">
        <v>7</v>
      </c>
      <c r="E21" s="104">
        <v>53</v>
      </c>
      <c r="F21" s="128">
        <v>18</v>
      </c>
      <c r="G21" s="85">
        <v>3</v>
      </c>
      <c r="H21" s="104">
        <v>1</v>
      </c>
      <c r="I21" s="85">
        <v>21</v>
      </c>
      <c r="J21" s="85">
        <v>7</v>
      </c>
      <c r="K21" s="104">
        <v>24</v>
      </c>
      <c r="L21" s="85">
        <v>8</v>
      </c>
      <c r="M21" s="104">
        <v>12</v>
      </c>
      <c r="N21" s="128">
        <v>4</v>
      </c>
      <c r="O21" s="104">
        <v>32</v>
      </c>
      <c r="P21" s="128">
        <v>11</v>
      </c>
      <c r="Q21" s="129">
        <f>E21/K21</f>
        <v>2.2083333333333335</v>
      </c>
    </row>
    <row r="22" spans="1:17" ht="15.75">
      <c r="A22" s="3" t="s">
        <v>19</v>
      </c>
      <c r="B22" s="124">
        <v>46</v>
      </c>
      <c r="C22" s="85">
        <v>4</v>
      </c>
      <c r="D22" s="85">
        <v>2</v>
      </c>
      <c r="E22" s="104">
        <v>35</v>
      </c>
      <c r="F22" s="128">
        <v>16</v>
      </c>
      <c r="G22" s="85">
        <v>39</v>
      </c>
      <c r="H22" s="104">
        <v>18</v>
      </c>
      <c r="I22" s="85">
        <v>13</v>
      </c>
      <c r="J22" s="85">
        <v>6</v>
      </c>
      <c r="K22" s="104">
        <v>13</v>
      </c>
      <c r="L22" s="85">
        <v>6</v>
      </c>
      <c r="M22" s="104">
        <v>0</v>
      </c>
      <c r="N22" s="128">
        <v>0</v>
      </c>
      <c r="O22" s="104">
        <v>33</v>
      </c>
      <c r="P22" s="128">
        <v>15</v>
      </c>
      <c r="Q22" s="129">
        <f>E22/K22</f>
        <v>2.6923076923076925</v>
      </c>
    </row>
    <row r="23" spans="1:17" ht="15.75">
      <c r="A23" s="3" t="s">
        <v>20</v>
      </c>
      <c r="B23" s="124">
        <v>35</v>
      </c>
      <c r="C23" s="85">
        <v>0</v>
      </c>
      <c r="D23" s="85">
        <v>0</v>
      </c>
      <c r="E23" s="104">
        <v>17</v>
      </c>
      <c r="F23" s="128">
        <v>6</v>
      </c>
      <c r="G23" s="85">
        <v>46</v>
      </c>
      <c r="H23" s="104">
        <v>16</v>
      </c>
      <c r="I23" s="85">
        <v>17</v>
      </c>
      <c r="J23" s="85">
        <v>6</v>
      </c>
      <c r="K23" s="104">
        <v>20</v>
      </c>
      <c r="L23" s="85">
        <v>7</v>
      </c>
      <c r="M23" s="104">
        <v>0</v>
      </c>
      <c r="N23" s="128">
        <v>0</v>
      </c>
      <c r="O23" s="104">
        <v>6</v>
      </c>
      <c r="P23" s="128">
        <v>2</v>
      </c>
      <c r="Q23" s="129">
        <f>E23/K23</f>
        <v>0.85</v>
      </c>
    </row>
    <row r="24" spans="1:2" ht="23.1" customHeight="1">
      <c r="A24" s="125" t="s">
        <v>56</v>
      </c>
      <c r="B24" s="123">
        <f>SUM(B2:B23)</f>
        <v>7901</v>
      </c>
    </row>
    <row r="25" ht="15.75">
      <c r="A25" s="6"/>
    </row>
    <row r="26" spans="1:3" ht="15.75">
      <c r="A26" s="7" t="s">
        <v>72</v>
      </c>
      <c r="B26" s="8">
        <v>4</v>
      </c>
      <c r="C26" s="9">
        <v>8</v>
      </c>
    </row>
    <row r="27" spans="1:2" ht="15.75">
      <c r="A27" s="7" t="s">
        <v>57</v>
      </c>
      <c r="B27" s="8">
        <v>12</v>
      </c>
    </row>
    <row r="30" spans="1:3" ht="36.6" customHeight="1">
      <c r="A30" s="123" t="s">
        <v>76</v>
      </c>
      <c r="B30" s="125" t="s">
        <v>77</v>
      </c>
      <c r="C30" s="125" t="s">
        <v>78</v>
      </c>
    </row>
    <row r="31" spans="1:8" ht="17.45" customHeight="1">
      <c r="A31" s="2" t="s">
        <v>4</v>
      </c>
      <c r="B31" s="94">
        <f aca="true" t="shared" si="1" ref="B31:B38">(B2-N2-F2-P2)+$B$26*(F2-D2)+$B$27*P2+$C$26*D2</f>
        <v>1158</v>
      </c>
      <c r="C31" s="126">
        <f>(('zdrojova data'!$B$67/$B$53)*B31)</f>
        <v>3393174.563441141</v>
      </c>
      <c r="F31" s="120"/>
      <c r="G31" s="5"/>
      <c r="H31" s="5"/>
    </row>
    <row r="32" spans="1:6" ht="17.45" customHeight="1">
      <c r="A32" s="2" t="s">
        <v>5</v>
      </c>
      <c r="B32" s="94">
        <f t="shared" si="1"/>
        <v>4445</v>
      </c>
      <c r="C32" s="126">
        <f>(('zdrojova data'!$B$67/$B$53)*B32)</f>
        <v>13024750.375212325</v>
      </c>
      <c r="F32" s="120"/>
    </row>
    <row r="33" spans="1:6" ht="17.45" customHeight="1">
      <c r="A33" s="2" t="s">
        <v>21</v>
      </c>
      <c r="B33" s="94">
        <f t="shared" si="1"/>
        <v>4885</v>
      </c>
      <c r="C33" s="126">
        <f>(('zdrojova data'!$B$67/$B$53)*B33)</f>
        <v>14314039.501217594</v>
      </c>
      <c r="F33" s="120"/>
    </row>
    <row r="34" spans="1:6" ht="17.45" customHeight="1">
      <c r="A34" s="2" t="s">
        <v>6</v>
      </c>
      <c r="B34" s="94">
        <f t="shared" si="1"/>
        <v>2033</v>
      </c>
      <c r="C34" s="126">
        <f>(('zdrojova data'!$B$67/$B$53)*B34)</f>
        <v>5957101.802656165</v>
      </c>
      <c r="F34" s="120"/>
    </row>
    <row r="35" spans="1:6" ht="17.45" customHeight="1">
      <c r="A35" s="3" t="s">
        <v>7</v>
      </c>
      <c r="B35" s="94">
        <f t="shared" si="1"/>
        <v>1321</v>
      </c>
      <c r="C35" s="126">
        <f>(('zdrojova data'!$B$67/$B$53)*B35)</f>
        <v>3870797.580574911</v>
      </c>
      <c r="F35" s="120"/>
    </row>
    <row r="36" spans="1:6" ht="17.45" customHeight="1">
      <c r="A36" s="3" t="s">
        <v>8</v>
      </c>
      <c r="B36" s="94">
        <f t="shared" si="1"/>
        <v>1991</v>
      </c>
      <c r="C36" s="126">
        <f>(('zdrojova data'!$B$67/$B$53)*B36)</f>
        <v>5834033.295173844</v>
      </c>
      <c r="F36" s="120"/>
    </row>
    <row r="37" spans="1:6" ht="17.45" customHeight="1">
      <c r="A37" s="3" t="s">
        <v>9</v>
      </c>
      <c r="B37" s="94">
        <f t="shared" si="1"/>
        <v>2668</v>
      </c>
      <c r="C37" s="126">
        <f>(('zdrojova data'!$B$67/$B$53)*B37)</f>
        <v>7817780.427686498</v>
      </c>
      <c r="F37" s="120"/>
    </row>
    <row r="38" spans="1:6" ht="17.45" customHeight="1">
      <c r="A38" s="3" t="s">
        <v>23</v>
      </c>
      <c r="B38" s="94">
        <f t="shared" si="1"/>
        <v>5943</v>
      </c>
      <c r="C38" s="126">
        <f>(('zdrojova data'!$B$67/$B$53)*B38)</f>
        <v>17414193.808748446</v>
      </c>
      <c r="F38" s="120"/>
    </row>
    <row r="39" spans="1:6" ht="17.45" customHeight="1">
      <c r="A39" s="3" t="s">
        <v>10</v>
      </c>
      <c r="B39" s="94">
        <f>(B10-N10-F10-P10)+$B$26*(F10-D10)+$B$27*P10+$C$26*D10</f>
        <v>6213</v>
      </c>
      <c r="C39" s="126">
        <f>(('zdrojova data'!$B$67/$B$53)*B39)</f>
        <v>18205348.499706224</v>
      </c>
      <c r="F39" s="120"/>
    </row>
    <row r="40" spans="1:6" ht="17.45" customHeight="1">
      <c r="A40" s="3" t="s">
        <v>11</v>
      </c>
      <c r="B40" s="94">
        <f aca="true" t="shared" si="2" ref="B40:B48">(B11-N11-F11-P11)+$B$26*(F11-D11)+$B$27*P11+$C$26*D11</f>
        <v>3517</v>
      </c>
      <c r="C40" s="126">
        <f>(('zdrojova data'!$B$67/$B$53)*B40)</f>
        <v>10305522.400364846</v>
      </c>
      <c r="F40" s="120"/>
    </row>
    <row r="41" spans="1:6" ht="17.45" customHeight="1">
      <c r="A41" s="3" t="s">
        <v>12</v>
      </c>
      <c r="B41" s="94">
        <f t="shared" si="2"/>
        <v>1738</v>
      </c>
      <c r="C41" s="126">
        <f>(('zdrojova data'!$B$67/$B$53)*B41)</f>
        <v>5092692.047720814</v>
      </c>
      <c r="F41" s="120"/>
    </row>
    <row r="42" spans="1:6" ht="17.45" customHeight="1">
      <c r="A42" s="3" t="s">
        <v>13</v>
      </c>
      <c r="B42" s="94">
        <f t="shared" si="2"/>
        <v>2733</v>
      </c>
      <c r="C42" s="126">
        <f>(('zdrojova data'!$B$67/$B$53)*B42)</f>
        <v>8008243.594028185</v>
      </c>
      <c r="F42" s="120"/>
    </row>
    <row r="43" spans="1:6" ht="17.45" customHeight="1">
      <c r="A43" s="3" t="s">
        <v>80</v>
      </c>
      <c r="B43" s="94">
        <f t="shared" si="2"/>
        <v>541</v>
      </c>
      <c r="C43" s="126">
        <f>(('zdrojova data'!$B$67/$B$53)*B43)</f>
        <v>1585239.584474661</v>
      </c>
      <c r="F43" s="120"/>
    </row>
    <row r="44" spans="1:6" ht="17.45" customHeight="1">
      <c r="A44" s="3" t="s">
        <v>22</v>
      </c>
      <c r="B44" s="94">
        <f t="shared" si="2"/>
        <v>831</v>
      </c>
      <c r="C44" s="126">
        <f>(('zdrojova data'!$B$67/$B$53)*B44)</f>
        <v>2434998.3266144977</v>
      </c>
      <c r="F44" s="120"/>
    </row>
    <row r="45" spans="1:6" ht="17.45" customHeight="1">
      <c r="A45" s="3" t="s">
        <v>14</v>
      </c>
      <c r="B45" s="94">
        <f t="shared" si="2"/>
        <v>885</v>
      </c>
      <c r="C45" s="126">
        <f>(('zdrojova data'!$B$67/$B$53)*B45)</f>
        <v>2593229.264806053</v>
      </c>
      <c r="F45" s="120"/>
    </row>
    <row r="46" spans="1:6" ht="17.45" customHeight="1">
      <c r="A46" s="3" t="s">
        <v>15</v>
      </c>
      <c r="B46" s="94">
        <f t="shared" si="2"/>
        <v>1505</v>
      </c>
      <c r="C46" s="126">
        <f>(('zdrojova data'!$B$67/$B$53)*B46)</f>
        <v>4409954.851449842</v>
      </c>
      <c r="F46" s="120"/>
    </row>
    <row r="47" spans="1:6" ht="17.45" customHeight="1">
      <c r="A47" s="3" t="s">
        <v>79</v>
      </c>
      <c r="B47" s="94">
        <f t="shared" si="2"/>
        <v>867</v>
      </c>
      <c r="C47" s="126">
        <f>(('zdrojova data'!$B$67/$B$53)*B47)</f>
        <v>2540485.6187422015</v>
      </c>
      <c r="F47" s="120"/>
    </row>
    <row r="48" spans="1:6" ht="17.45" customHeight="1">
      <c r="A48" s="3" t="s">
        <v>16</v>
      </c>
      <c r="B48" s="94">
        <f t="shared" si="2"/>
        <v>897</v>
      </c>
      <c r="C48" s="126">
        <f>(('zdrojova data'!$B$67/$B$53)*B48)</f>
        <v>2628391.695515288</v>
      </c>
      <c r="F48" s="120"/>
    </row>
    <row r="49" spans="1:6" ht="17.45" customHeight="1">
      <c r="A49" s="3" t="s">
        <v>17</v>
      </c>
      <c r="B49" s="94">
        <f>(B20-N20-F20-P20)+$B$26*(F20-D20)+$B$27*P20+$C$26*D20</f>
        <v>7967</v>
      </c>
      <c r="C49" s="126">
        <f>(('zdrojova data'!$B$67/$B$53)*B49)</f>
        <v>23344923.788372684</v>
      </c>
      <c r="F49" s="120"/>
    </row>
    <row r="50" spans="1:3" ht="17.45" customHeight="1">
      <c r="A50" s="3" t="s">
        <v>18</v>
      </c>
      <c r="B50" s="94">
        <f aca="true" t="shared" si="3" ref="B50:B52">(B21-N21-F21-P21)+$B$26*(F21-D21)+$B$27*P21+$C$26*D21</f>
        <v>233</v>
      </c>
      <c r="C50" s="126">
        <f>(('zdrojova data'!$B$67/$B$53)*B50)</f>
        <v>682737.1962709723</v>
      </c>
    </row>
    <row r="51" spans="1:3" ht="17.45" customHeight="1">
      <c r="A51" s="3" t="s">
        <v>19</v>
      </c>
      <c r="B51" s="94">
        <f t="shared" si="3"/>
        <v>267</v>
      </c>
      <c r="C51" s="126">
        <f>(('zdrojova data'!$B$67/$B$53)*B51)</f>
        <v>782364.0832804703</v>
      </c>
    </row>
    <row r="52" spans="1:3" ht="17.45" customHeight="1">
      <c r="A52" s="3" t="s">
        <v>20</v>
      </c>
      <c r="B52" s="94">
        <f t="shared" si="3"/>
        <v>75</v>
      </c>
      <c r="C52" s="126">
        <f>(('zdrojova data'!$B$67/$B$53)*B52)</f>
        <v>219765.19193271638</v>
      </c>
    </row>
    <row r="53" spans="1:3" ht="26.45" customHeight="1">
      <c r="A53" s="122" t="s">
        <v>65</v>
      </c>
      <c r="B53" s="127">
        <f>SUM(B31:B52)</f>
        <v>52713</v>
      </c>
      <c r="C53" s="127">
        <f>SUM(C31:C52)</f>
        <v>154459767.4979904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Office365 deploy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Hejnová Jana Ing.</dc:creator>
  <cp:keywords/>
  <dc:description/>
  <cp:lastModifiedBy>Hejnová Jana Ing.</cp:lastModifiedBy>
  <cp:lastPrinted>2020-10-27T11:17:26Z</cp:lastPrinted>
  <dcterms:created xsi:type="dcterms:W3CDTF">2020-06-15T13:25:11Z</dcterms:created>
  <dcterms:modified xsi:type="dcterms:W3CDTF">2021-02-19T08:18:10Z</dcterms:modified>
  <cp:category/>
  <cp:version/>
  <cp:contentType/>
  <cp:contentStatus/>
</cp:coreProperties>
</file>